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<sst xmlns="http://schemas.openxmlformats.org/spreadsheetml/2006/main" count="172" uniqueCount="123">
  <si>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</si>
  <si>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</si>
  <si>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</si>
  <si>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</si>
  <si>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</si>
  <si>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</si>
  <si>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</si>
  <si>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</si>
  <si>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</si>
  <si>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</si>
  <si>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</si>
  <si>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</si>
  <si>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</si>
  <si>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</si>
  <si>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</si>
  <si>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</si>
  <si>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</si>
  <si>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</si>
  <si>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</si>
  <si>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</si>
  <si>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</si>
  <si>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</si>
  <si>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</si>
  <si>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</si>
  <si>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</si>
  <si>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</si>
  <si>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</si>
  <si>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</si>
  <si>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</si>
  <si>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</si>
  <si>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</si>
  <si>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</si>
  <si>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</si>
  <si>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</si>
  <si>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</si>
  <si>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</si>
  <si>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</si>
  <si>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</si>
  <si>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</si>
  <si>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</si>
  <si>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</si>
  <si>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</si>
  <si>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</si>
  <si>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</si>
  <si>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</si>
  <si>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</si>
  <si>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</si>
  <si>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</si>
  <si>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</si>
  <si>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</si>
  <si>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</si>
  <si>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</si>
  <si>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</si>
  <si>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</si>
  <si>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</si>
  <si>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</si>
  <si>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</si>
  <si>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</si>
  <si>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</si>
  <si>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</si>
  <si>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</si>
  <si>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</si>
  <si>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</si>
  <si>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</si>
  <si>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</si>
  <si>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</si>
  <si>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</si>
  <si>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</si>
  <si>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</si>
  <si>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</si>
  <si>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</si>
  <si>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</si>
  <si>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</si>
  <si>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</si>
  <si>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</si>
  <si>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</si>
  <si>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</si>
  <si>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</si>
  <si>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</si>
  <si>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</si>
  <si>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</si>
  <si>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</si>
  <si>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</si>
  <si>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</si>
  <si>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</si>
  <si>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</si>
  <si>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</si>
  <si>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</si>
  <si>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</si>
  <si>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</si>
  <si>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</si>
  <si>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</si>
  <si>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</si>
  <si>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</si>
  <si>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</si>
  <si>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</si>
  <si>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</si>
  <si>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</si>
  <si>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</si>
  <si>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</si>
  <si>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</si>
  <si>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</si>
  <si>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</si>
  <si>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</si>
  <si>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</si>
  <si>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</si>
  <si>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</si>
  <si>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</si>
  <si>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</si>
  <si>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</si>
  <si>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</si>
  <si>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</si>
  <si>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</si>
  <si>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</si>
  <si>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</si>
  <si>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</si>
  <si>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</si>
  <si>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</si>
  <si>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</si>
  <si>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План на 9 місяців, тис.грн.</t>
  </si>
  <si>
    <t>Відсоток виконання плану 9 місяців</t>
  </si>
  <si>
    <t>Відхилення від плану 9 місяців, тис.грн.</t>
  </si>
  <si>
    <t>Аналіз використання коштів міського бюджету за 2016 рік станом на 21.09.2016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</si>
</sst>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32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6" xfId="0" applyNumberFormat="1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6" xfId="0" applyNumberFormat="1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5" xfId="0" applyNumberFormat="1" applyFont="1" applyFill="1" applyBorder="1" applyAlignment="1">
      <alignment/>
    </xf>
    <xf numFmtId="190" fontId="0" fillId="0" borderId="13" xfId="0" applyNumberFormat="1" applyFont="1" applyFill="1" applyBorder="1" applyAlignment="1">
      <alignment wrapText="1"/>
    </xf>
    <xf numFmtId="190" fontId="0" fillId="0" borderId="11" xfId="0" applyNumberFormat="1" applyFont="1" applyFill="1" applyBorder="1" applyAlignment="1">
      <alignment/>
    </xf>
    <xf numFmtId="190" fontId="4" fillId="0" borderId="16" xfId="0" applyNumberFormat="1" applyFont="1" applyFill="1" applyBorder="1" applyAlignment="1">
      <alignment wrapText="1"/>
    </xf>
    <xf numFmtId="190" fontId="4" fillId="0" borderId="12" xfId="0" applyNumberFormat="1" applyFont="1" applyFill="1" applyBorder="1" applyAlignment="1">
      <alignment wrapText="1"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5" xfId="0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89" fontId="4" fillId="32" borderId="15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89" fontId="4" fillId="33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32" borderId="16" xfId="0" applyNumberFormat="1" applyFont="1" applyFill="1" applyBorder="1" applyAlignment="1">
      <alignment/>
    </xf>
    <xf numFmtId="190" fontId="5" fillId="32" borderId="20" xfId="0" applyNumberFormat="1" applyFont="1" applyFill="1" applyBorder="1" applyAlignment="1">
      <alignment wrapText="1"/>
    </xf>
    <xf numFmtId="190" fontId="4" fillId="32" borderId="22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59296.50000000001</c:v>
                </c:pt>
                <c:pt idx="1">
                  <c:v>49680.7</c:v>
                </c:pt>
                <c:pt idx="2">
                  <c:v>2121.4</c:v>
                </c:pt>
                <c:pt idx="3">
                  <c:v>7494.400000000011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39628.6</c:v>
                </c:pt>
                <c:pt idx="1">
                  <c:v>33891.49999999999</c:v>
                </c:pt>
                <c:pt idx="2">
                  <c:v>1162.4999999999998</c:v>
                </c:pt>
                <c:pt idx="3">
                  <c:v>4574.600000000006</c:v>
                </c:pt>
              </c:numCache>
            </c:numRef>
          </c:val>
          <c:shape val="box"/>
        </c:ser>
        <c:shape val="box"/>
        <c:axId val="28960567"/>
        <c:axId val="59318512"/>
      </c:bar3DChart>
      <c:catAx>
        <c:axId val="28960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18512"/>
        <c:crosses val="autoZero"/>
        <c:auto val="1"/>
        <c:lblOffset val="100"/>
        <c:tickLblSkip val="1"/>
        <c:noMultiLvlLbl val="0"/>
      </c:catAx>
      <c:valAx>
        <c:axId val="59318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605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445444.6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16056.900000000038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279553.89999999997</c:v>
                </c:pt>
                <c:pt idx="1">
                  <c:v>123308.80000000002</c:v>
                </c:pt>
                <c:pt idx="2">
                  <c:v>213621.1999999999</c:v>
                </c:pt>
                <c:pt idx="3">
                  <c:v>38.19999999999999</c:v>
                </c:pt>
                <c:pt idx="4">
                  <c:v>16675.40000000001</c:v>
                </c:pt>
                <c:pt idx="5">
                  <c:v>32056.5</c:v>
                </c:pt>
                <c:pt idx="6">
                  <c:v>8187.200000000002</c:v>
                </c:pt>
                <c:pt idx="7">
                  <c:v>8975.400000000063</c:v>
                </c:pt>
              </c:numCache>
            </c:numRef>
          </c:val>
          <c:shape val="box"/>
        </c:ser>
        <c:shape val="box"/>
        <c:axId val="64104561"/>
        <c:axId val="40070138"/>
      </c:bar3DChart>
      <c:catAx>
        <c:axId val="64104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070138"/>
        <c:crosses val="autoZero"/>
        <c:auto val="1"/>
        <c:lblOffset val="100"/>
        <c:tickLblSkip val="1"/>
        <c:noMultiLvlLbl val="0"/>
      </c:catAx>
      <c:valAx>
        <c:axId val="400701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045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260212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13283.600000000011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172340.80000000002</c:v>
                </c:pt>
                <c:pt idx="1">
                  <c:v>127701.69999999997</c:v>
                </c:pt>
                <c:pt idx="2">
                  <c:v>133216.1</c:v>
                </c:pt>
                <c:pt idx="3">
                  <c:v>15741.500000000002</c:v>
                </c:pt>
                <c:pt idx="4">
                  <c:v>2927.0000000000005</c:v>
                </c:pt>
                <c:pt idx="5">
                  <c:v>15125.399999999996</c:v>
                </c:pt>
                <c:pt idx="6">
                  <c:v>1134.4999999999998</c:v>
                </c:pt>
                <c:pt idx="7">
                  <c:v>4196.300000000016</c:v>
                </c:pt>
              </c:numCache>
            </c:numRef>
          </c:val>
          <c:shape val="box"/>
        </c:ser>
        <c:shape val="box"/>
        <c:axId val="25086923"/>
        <c:axId val="24455716"/>
      </c:bar3DChart>
      <c:catAx>
        <c:axId val="25086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455716"/>
        <c:crosses val="autoZero"/>
        <c:auto val="1"/>
        <c:lblOffset val="100"/>
        <c:tickLblSkip val="1"/>
        <c:noMultiLvlLbl val="0"/>
      </c:catAx>
      <c:valAx>
        <c:axId val="244557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869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48353.2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7629.4000000000015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33214.299999999996</c:v>
                </c:pt>
                <c:pt idx="1">
                  <c:v>24619.099999999988</c:v>
                </c:pt>
                <c:pt idx="2">
                  <c:v>1273.9999999999995</c:v>
                </c:pt>
                <c:pt idx="3">
                  <c:v>452.1000000000001</c:v>
                </c:pt>
                <c:pt idx="4">
                  <c:v>25.5</c:v>
                </c:pt>
                <c:pt idx="5">
                  <c:v>6843.600000000008</c:v>
                </c:pt>
              </c:numCache>
            </c:numRef>
          </c:val>
          <c:shape val="box"/>
        </c:ser>
        <c:shape val="box"/>
        <c:axId val="18774853"/>
        <c:axId val="34755950"/>
      </c:bar3DChart>
      <c:catAx>
        <c:axId val="18774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755950"/>
        <c:crosses val="autoZero"/>
        <c:auto val="1"/>
        <c:lblOffset val="100"/>
        <c:tickLblSkip val="1"/>
        <c:noMultiLvlLbl val="0"/>
      </c:catAx>
      <c:valAx>
        <c:axId val="34755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748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17141.1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5380.299999999997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10027.499999999995</c:v>
                </c:pt>
                <c:pt idx="1">
                  <c:v>6744.999999999998</c:v>
                </c:pt>
                <c:pt idx="3">
                  <c:v>148.70000000000002</c:v>
                </c:pt>
                <c:pt idx="4">
                  <c:v>387.70000000000005</c:v>
                </c:pt>
                <c:pt idx="5">
                  <c:v>160</c:v>
                </c:pt>
                <c:pt idx="6">
                  <c:v>2586.0999999999967</c:v>
                </c:pt>
              </c:numCache>
            </c:numRef>
          </c:val>
          <c:shape val="box"/>
        </c:ser>
        <c:shape val="box"/>
        <c:axId val="44368095"/>
        <c:axId val="63768536"/>
      </c:bar3DChart>
      <c:catAx>
        <c:axId val="44368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768536"/>
        <c:crosses val="autoZero"/>
        <c:auto val="1"/>
        <c:lblOffset val="100"/>
        <c:tickLblSkip val="2"/>
        <c:noMultiLvlLbl val="0"/>
      </c:catAx>
      <c:valAx>
        <c:axId val="63768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680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6131.4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3247.5999999999995</c:v>
                </c:pt>
                <c:pt idx="1">
                  <c:v>1116.8</c:v>
                </c:pt>
                <c:pt idx="2">
                  <c:v>311.70000000000005</c:v>
                </c:pt>
                <c:pt idx="3">
                  <c:v>200.20000000000002</c:v>
                </c:pt>
                <c:pt idx="4">
                  <c:v>1541.4</c:v>
                </c:pt>
                <c:pt idx="5">
                  <c:v>77.49999999999909</c:v>
                </c:pt>
              </c:numCache>
            </c:numRef>
          </c:val>
          <c:shape val="box"/>
        </c:ser>
        <c:shape val="box"/>
        <c:axId val="37045913"/>
        <c:axId val="64977762"/>
      </c:bar3DChart>
      <c:catAx>
        <c:axId val="37045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977762"/>
        <c:crosses val="autoZero"/>
        <c:auto val="1"/>
        <c:lblOffset val="100"/>
        <c:tickLblSkip val="1"/>
        <c:noMultiLvlLbl val="0"/>
      </c:catAx>
      <c:valAx>
        <c:axId val="64977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459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78413.9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59102.80000000001</c:v>
                </c:pt>
              </c:numCache>
            </c:numRef>
          </c:val>
          <c:shape val="box"/>
        </c:ser>
        <c:shape val="box"/>
        <c:axId val="47928947"/>
        <c:axId val="28707340"/>
      </c:bar3DChart>
      <c:catAx>
        <c:axId val="47928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707340"/>
        <c:crosses val="autoZero"/>
        <c:auto val="1"/>
        <c:lblOffset val="100"/>
        <c:tickLblSkip val="1"/>
        <c:noMultiLvlLbl val="0"/>
      </c:catAx>
      <c:valAx>
        <c:axId val="287073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289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445444.6</c:v>
                </c:pt>
                <c:pt idx="1">
                  <c:v>260212</c:v>
                </c:pt>
                <c:pt idx="2">
                  <c:v>48353.2</c:v>
                </c:pt>
                <c:pt idx="3">
                  <c:v>17141.1</c:v>
                </c:pt>
                <c:pt idx="4">
                  <c:v>6131.4</c:v>
                </c:pt>
                <c:pt idx="5">
                  <c:v>59296.50000000001</c:v>
                </c:pt>
                <c:pt idx="6">
                  <c:v>78413.9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279553.89999999997</c:v>
                </c:pt>
                <c:pt idx="1">
                  <c:v>172340.80000000002</c:v>
                </c:pt>
                <c:pt idx="2">
                  <c:v>33214.299999999996</c:v>
                </c:pt>
                <c:pt idx="3">
                  <c:v>10027.499999999995</c:v>
                </c:pt>
                <c:pt idx="4">
                  <c:v>3247.5999999999995</c:v>
                </c:pt>
                <c:pt idx="5">
                  <c:v>39628.6</c:v>
                </c:pt>
                <c:pt idx="6">
                  <c:v>59102.80000000001</c:v>
                </c:pt>
              </c:numCache>
            </c:numRef>
          </c:val>
          <c:shape val="box"/>
        </c:ser>
        <c:shape val="box"/>
        <c:axId val="57039469"/>
        <c:axId val="43593174"/>
      </c:bar3DChart>
      <c:catAx>
        <c:axId val="5703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593174"/>
        <c:crosses val="autoZero"/>
        <c:auto val="1"/>
        <c:lblOffset val="100"/>
        <c:tickLblSkip val="1"/>
        <c:noMultiLvlLbl val="0"/>
      </c:catAx>
      <c:valAx>
        <c:axId val="435931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394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31721.800000000003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690553.2000000001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418681.09999999986</c:v>
                </c:pt>
                <c:pt idx="1">
                  <c:v>55534.99999999999</c:v>
                </c:pt>
                <c:pt idx="2">
                  <c:v>20098.10000000001</c:v>
                </c:pt>
                <c:pt idx="3">
                  <c:v>15988.400000000001</c:v>
                </c:pt>
                <c:pt idx="4">
                  <c:v>15860.800000000003</c:v>
                </c:pt>
                <c:pt idx="5">
                  <c:v>500508.3000000001</c:v>
                </c:pt>
              </c:numCache>
            </c:numRef>
          </c:val>
          <c:shape val="box"/>
        </c:ser>
        <c:shape val="box"/>
        <c:axId val="56794247"/>
        <c:axId val="41386176"/>
      </c:bar3DChart>
      <c:catAx>
        <c:axId val="56794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386176"/>
        <c:crosses val="autoZero"/>
        <c:auto val="1"/>
        <c:lblOffset val="100"/>
        <c:tickLblSkip val="1"/>
        <c:noMultiLvlLbl val="0"/>
      </c:catAx>
      <c:valAx>
        <c:axId val="41386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942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1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28" sqref="L128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111</v>
      </c>
      <c r="D3" s="135" t="s">
        <v>28</v>
      </c>
      <c r="E3" s="135" t="s">
        <v>27</v>
      </c>
      <c r="F3" s="135" t="s">
        <v>120</v>
      </c>
      <c r="G3" s="135" t="s">
        <v>113</v>
      </c>
      <c r="H3" s="135" t="s">
        <v>121</v>
      </c>
      <c r="I3" s="135" t="s">
        <v>112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v>324048.3</v>
      </c>
      <c r="C6" s="50">
        <f>426773.1+25+188.4+2200.9+6.1-1051.6+141.1+593.1+16568.5</f>
        <v>445444.6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+824.9+3788.7+1076.6+5.7+22.2+199.3+0.6+56.5+345.6+74.2+5939.3+15.4+329.9+242.8+27.1+377.4+179.6+253.2+325.6+45.4+5613.3+450.2+4414.7+121+0.2+0.1+58.8+336.6+2.1+8.9+280+11704.8+125.6+58.7+382.5+147.7</f>
        <v>279553.89999999997</v>
      </c>
      <c r="E6" s="3">
        <f>D6/D150*100</f>
        <v>27.229142480502773</v>
      </c>
      <c r="F6" s="3">
        <f>D6/B6*100</f>
        <v>86.26920739902044</v>
      </c>
      <c r="G6" s="3">
        <f aca="true" t="shared" si="0" ref="G6:G43">D6/C6*100</f>
        <v>62.758399136503165</v>
      </c>
      <c r="H6" s="51">
        <f>B6-D6</f>
        <v>44494.40000000002</v>
      </c>
      <c r="I6" s="51">
        <f aca="true" t="shared" si="1" ref="I6:I43">C6-D6</f>
        <v>165890.7</v>
      </c>
    </row>
    <row r="7" spans="1:9" s="41" customFormat="1" ht="18.75">
      <c r="A7" s="112" t="s">
        <v>97</v>
      </c>
      <c r="B7" s="105">
        <v>142612.5</v>
      </c>
      <c r="C7" s="102">
        <f>185717.4+2200.9+593.1-613.8</f>
        <v>187897.6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+5762.1+58.7+48.7</f>
        <v>123308.80000000002</v>
      </c>
      <c r="E7" s="103">
        <f>D7/D6*100</f>
        <v>44.10913244279548</v>
      </c>
      <c r="F7" s="103">
        <f>D7/B7*100</f>
        <v>86.4642299938645</v>
      </c>
      <c r="G7" s="103">
        <f>D7/C7*100</f>
        <v>65.62553220477537</v>
      </c>
      <c r="H7" s="113">
        <f>B7-D7</f>
        <v>19303.699999999983</v>
      </c>
      <c r="I7" s="113">
        <f t="shared" si="1"/>
        <v>64588.79999999999</v>
      </c>
    </row>
    <row r="8" spans="1:9" ht="18">
      <c r="A8" s="26" t="s">
        <v>3</v>
      </c>
      <c r="B8" s="46">
        <v>230576.6</v>
      </c>
      <c r="C8" s="47">
        <f>298081.6+593.1+13792.1</f>
        <v>312466.79999999993</v>
      </c>
      <c r="D8" s="48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+8.9+11058.8</f>
        <v>213621.1999999999</v>
      </c>
      <c r="E8" s="1">
        <f>D8/D6*100</f>
        <v>76.4150312336905</v>
      </c>
      <c r="F8" s="1">
        <f>D8/B8*100</f>
        <v>92.646521806636</v>
      </c>
      <c r="G8" s="1">
        <f t="shared" si="0"/>
        <v>68.36604720885545</v>
      </c>
      <c r="H8" s="48">
        <f>B8-D8</f>
        <v>16955.40000000011</v>
      </c>
      <c r="I8" s="48">
        <f t="shared" si="1"/>
        <v>98845.60000000003</v>
      </c>
    </row>
    <row r="9" spans="1:9" ht="18">
      <c r="A9" s="26" t="s">
        <v>2</v>
      </c>
      <c r="B9" s="46">
        <v>69.2</v>
      </c>
      <c r="C9" s="47">
        <v>85.7</v>
      </c>
      <c r="D9" s="48">
        <f>4+2.9+1.6+0.5+0.5+1.9+1.2+1.8+1.6+0.7+2+3.7+0.1+1.9+2.9+1.2+0.4+1.1+0.2+0.6+1.5+1.7+0.3+0.5+1.3-0.1+0.4+0.3+1.5</f>
        <v>38.19999999999999</v>
      </c>
      <c r="E9" s="12">
        <f>D9/D6*100</f>
        <v>0.013664627823113895</v>
      </c>
      <c r="F9" s="128">
        <f>D9/B9*100</f>
        <v>55.2023121387283</v>
      </c>
      <c r="G9" s="1">
        <f t="shared" si="0"/>
        <v>44.57409568261376</v>
      </c>
      <c r="H9" s="48">
        <f aca="true" t="shared" si="2" ref="H9:H43">B9-D9</f>
        <v>31.000000000000014</v>
      </c>
      <c r="I9" s="48">
        <f t="shared" si="1"/>
        <v>47.500000000000014</v>
      </c>
    </row>
    <row r="10" spans="1:9" ht="18">
      <c r="A10" s="26" t="s">
        <v>1</v>
      </c>
      <c r="B10" s="46">
        <v>21092.8</v>
      </c>
      <c r="C10" s="47">
        <f>28052.9-28-1051.6+141.1</f>
        <v>27114.4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+84.2+424+114.7+287.8+35.2</f>
        <v>16675.40000000001</v>
      </c>
      <c r="E10" s="1">
        <f>D10/D6*100</f>
        <v>5.965003528836482</v>
      </c>
      <c r="F10" s="1">
        <f aca="true" t="shared" si="3" ref="F10:F41">D10/B10*100</f>
        <v>79.05730865508615</v>
      </c>
      <c r="G10" s="1">
        <f t="shared" si="0"/>
        <v>61.50016227539613</v>
      </c>
      <c r="H10" s="48">
        <f t="shared" si="2"/>
        <v>4417.3999999999905</v>
      </c>
      <c r="I10" s="48">
        <f t="shared" si="1"/>
        <v>10438.999999999993</v>
      </c>
    </row>
    <row r="11" spans="1:9" ht="18">
      <c r="A11" s="26" t="s">
        <v>0</v>
      </c>
      <c r="B11" s="46">
        <v>48819.5</v>
      </c>
      <c r="C11" s="47">
        <f>71654.8+3326</f>
        <v>74980.8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+38.6+83.7+3.3+35.7</f>
        <v>32056.5</v>
      </c>
      <c r="E11" s="1">
        <f>D11/D6*100</f>
        <v>11.46701941915316</v>
      </c>
      <c r="F11" s="1">
        <f t="shared" si="3"/>
        <v>65.66331076721393</v>
      </c>
      <c r="G11" s="1">
        <f t="shared" si="0"/>
        <v>42.75294475385699</v>
      </c>
      <c r="H11" s="48">
        <f t="shared" si="2"/>
        <v>16763</v>
      </c>
      <c r="I11" s="48">
        <f t="shared" si="1"/>
        <v>42924.3</v>
      </c>
    </row>
    <row r="12" spans="1:9" ht="18">
      <c r="A12" s="26" t="s">
        <v>15</v>
      </c>
      <c r="B12" s="46">
        <v>10501.3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+13.1+1.8+8.3</f>
        <v>8187.200000000002</v>
      </c>
      <c r="E12" s="1">
        <f>D12/D6*100</f>
        <v>2.9286659924973333</v>
      </c>
      <c r="F12" s="1">
        <f t="shared" si="3"/>
        <v>77.96368068715303</v>
      </c>
      <c r="G12" s="1">
        <f t="shared" si="0"/>
        <v>55.54409769335143</v>
      </c>
      <c r="H12" s="48">
        <f t="shared" si="2"/>
        <v>2314.0999999999976</v>
      </c>
      <c r="I12" s="48">
        <f t="shared" si="1"/>
        <v>6552.799999999998</v>
      </c>
    </row>
    <row r="13" spans="1:9" ht="18.75" thickBot="1">
      <c r="A13" s="26" t="s">
        <v>34</v>
      </c>
      <c r="B13" s="47">
        <f>B6-B8-B9-B10-B11-B12</f>
        <v>12988.899999999983</v>
      </c>
      <c r="C13" s="47">
        <f>C6-C8-C9-C10-C11-C12</f>
        <v>16056.900000000038</v>
      </c>
      <c r="D13" s="47">
        <f>D6-D8-D9-D10-D11-D12</f>
        <v>8975.400000000063</v>
      </c>
      <c r="E13" s="1">
        <f>D13/D6*100</f>
        <v>3.2106151979994073</v>
      </c>
      <c r="F13" s="1">
        <f t="shared" si="3"/>
        <v>69.10053969158338</v>
      </c>
      <c r="G13" s="1">
        <f t="shared" si="0"/>
        <v>55.897464641369396</v>
      </c>
      <c r="H13" s="48">
        <f t="shared" si="2"/>
        <v>4013.49999999992</v>
      </c>
      <c r="I13" s="48">
        <f t="shared" si="1"/>
        <v>7081.4999999999745</v>
      </c>
    </row>
    <row r="14" spans="1:9" s="41" customFormat="1" ht="18.75" customHeight="1" hidden="1">
      <c r="A14" s="104" t="s">
        <v>77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74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75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76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196289.2</v>
      </c>
      <c r="C18" s="50">
        <f>250434.1+666.5+2890.8+76.6+110+6034</f>
        <v>260212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+0.9+1007.9+6309.6+1.9+11.6+1274.5</f>
        <v>172340.80000000002</v>
      </c>
      <c r="E18" s="3">
        <f>D18/D150*100</f>
        <v>16.786359261680246</v>
      </c>
      <c r="F18" s="3">
        <f>D18/B18*100</f>
        <v>87.79943063602073</v>
      </c>
      <c r="G18" s="3">
        <f t="shared" si="0"/>
        <v>66.23091940417814</v>
      </c>
      <c r="H18" s="51">
        <f>B18-D18</f>
        <v>23948.399999999994</v>
      </c>
      <c r="I18" s="51">
        <f t="shared" si="1"/>
        <v>87871.19999999998</v>
      </c>
    </row>
    <row r="19" spans="1:9" s="41" customFormat="1" ht="18.75">
      <c r="A19" s="112" t="s">
        <v>98</v>
      </c>
      <c r="B19" s="105">
        <v>142085.1</v>
      </c>
      <c r="C19" s="102">
        <f>188049.2+2890.8+579.6</f>
        <v>191519.6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+0.5+822.9+6309.6+1.9+11.6+827.6</f>
        <v>127701.69999999997</v>
      </c>
      <c r="E19" s="103">
        <f>D19/D18*100</f>
        <v>74.09835628011471</v>
      </c>
      <c r="F19" s="103">
        <f t="shared" si="3"/>
        <v>89.8769117944105</v>
      </c>
      <c r="G19" s="103">
        <f t="shared" si="0"/>
        <v>66.67813633695975</v>
      </c>
      <c r="H19" s="113">
        <f t="shared" si="2"/>
        <v>14383.400000000038</v>
      </c>
      <c r="I19" s="113">
        <f t="shared" si="1"/>
        <v>63817.90000000004</v>
      </c>
    </row>
    <row r="20" spans="1:9" ht="18">
      <c r="A20" s="26" t="s">
        <v>5</v>
      </c>
      <c r="B20" s="46">
        <v>144064.1</v>
      </c>
      <c r="C20" s="47">
        <f>186641.3+2944.5</f>
        <v>189585.8</v>
      </c>
      <c r="D20" s="48">
        <f>5722.2+1+8655.9+32.9+2.4+5725.7+8251+357.7+0.1+5829.5+27.9+3957+4812.9+26.7+6036.7+16.8+6839+2416.2+22.3+6209+10229+319.3+6468+9728.3+1605.6+3790.5+3239.9+10406.4+0.1+6965.8+3+5278.9+3995.6+0.1+6242.7</f>
        <v>133216.1</v>
      </c>
      <c r="E20" s="1">
        <f>D20/D18*100</f>
        <v>77.2980629079127</v>
      </c>
      <c r="F20" s="1">
        <f t="shared" si="3"/>
        <v>92.47001855424078</v>
      </c>
      <c r="G20" s="1">
        <f t="shared" si="0"/>
        <v>70.2669187249256</v>
      </c>
      <c r="H20" s="48">
        <f t="shared" si="2"/>
        <v>10848</v>
      </c>
      <c r="I20" s="48">
        <f t="shared" si="1"/>
        <v>56369.69999999998</v>
      </c>
    </row>
    <row r="21" spans="1:9" ht="18">
      <c r="A21" s="26" t="s">
        <v>2</v>
      </c>
      <c r="B21" s="46">
        <v>18737.9</v>
      </c>
      <c r="C21" s="47">
        <f>20454.1+500+110+1045.6</f>
        <v>22109.699999999997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+473.1+421.2+265.3</f>
        <v>15741.500000000002</v>
      </c>
      <c r="E21" s="1">
        <f>D21/D18*100</f>
        <v>9.133936943544418</v>
      </c>
      <c r="F21" s="1">
        <f t="shared" si="3"/>
        <v>84.00888039748318</v>
      </c>
      <c r="G21" s="1">
        <f t="shared" si="0"/>
        <v>71.19725731240136</v>
      </c>
      <c r="H21" s="48">
        <f t="shared" si="2"/>
        <v>2996.3999999999996</v>
      </c>
      <c r="I21" s="48">
        <f t="shared" si="1"/>
        <v>6368.199999999995</v>
      </c>
    </row>
    <row r="22" spans="1:9" ht="18">
      <c r="A22" s="26" t="s">
        <v>1</v>
      </c>
      <c r="B22" s="46">
        <v>3133.3</v>
      </c>
      <c r="C22" s="47">
        <v>3917.9</v>
      </c>
      <c r="D22" s="48">
        <f>127.7+23.6+33.5+86.7+19.5+2.9+68.3+78.1+10.6+165.4+2.5+15.8+6.5+60.2+104.3+141.7+2.3+23.7+90.2+22.1+28.3+93.7+27.2-0.1+0.2+54.7+9.9+37.6+110.2+182.3+0.1+39.2+35.9+64.9+14.2+28+147.6+14.5+0.1+67.9+38.7+142.7+29+23+176.1+16.8+117.5+127.9+4.9+25.4+0.3+70.1+52.4+60.2</f>
        <v>2927.0000000000005</v>
      </c>
      <c r="E22" s="1">
        <f>D22/D18*100</f>
        <v>1.6983790257443392</v>
      </c>
      <c r="F22" s="1">
        <f t="shared" si="3"/>
        <v>93.41588740305748</v>
      </c>
      <c r="G22" s="1">
        <f t="shared" si="0"/>
        <v>74.70838969856301</v>
      </c>
      <c r="H22" s="48">
        <f t="shared" si="2"/>
        <v>206.29999999999973</v>
      </c>
      <c r="I22" s="48">
        <f t="shared" si="1"/>
        <v>990.8999999999996</v>
      </c>
    </row>
    <row r="23" spans="1:9" ht="18">
      <c r="A23" s="26" t="s">
        <v>0</v>
      </c>
      <c r="B23" s="46">
        <v>18016</v>
      </c>
      <c r="C23" s="47">
        <f>27804.4+1919</f>
        <v>29723.4</v>
      </c>
      <c r="D23" s="48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+313.9+1.4+11.6+353.8</f>
        <v>15125.399999999996</v>
      </c>
      <c r="E23" s="1">
        <f>D23/D18*100</f>
        <v>8.776447596854602</v>
      </c>
      <c r="F23" s="1">
        <f t="shared" si="3"/>
        <v>83.95537300177618</v>
      </c>
      <c r="G23" s="1">
        <f t="shared" si="0"/>
        <v>50.88717979773511</v>
      </c>
      <c r="H23" s="48">
        <f t="shared" si="2"/>
        <v>2890.600000000004</v>
      </c>
      <c r="I23" s="48">
        <f t="shared" si="1"/>
        <v>14598.000000000005</v>
      </c>
    </row>
    <row r="24" spans="1:9" ht="18">
      <c r="A24" s="26" t="s">
        <v>15</v>
      </c>
      <c r="B24" s="46">
        <v>1212.1</v>
      </c>
      <c r="C24" s="47">
        <v>1591.6</v>
      </c>
      <c r="D24" s="48">
        <f>73.6+22.6+5.3+2.4+2.5+128.1+0.1+11.5+121.2+11.2-0.1+27.3+71.1+31.4-0.1+0.8+24.6+83.5+19.6+26.5+24.2+67.9+2.3+4+48.1+8.9+75.1+2+0.1+126.5+0.8+36.4+6.5+68.6</f>
        <v>1134.4999999999998</v>
      </c>
      <c r="E24" s="1">
        <f>D24/D18*100</f>
        <v>0.658288693101111</v>
      </c>
      <c r="F24" s="1">
        <f t="shared" si="3"/>
        <v>93.59788796303934</v>
      </c>
      <c r="G24" s="1">
        <f t="shared" si="0"/>
        <v>71.28047248052273</v>
      </c>
      <c r="H24" s="48">
        <f t="shared" si="2"/>
        <v>77.60000000000014</v>
      </c>
      <c r="I24" s="48">
        <f t="shared" si="1"/>
        <v>457.10000000000014</v>
      </c>
    </row>
    <row r="25" spans="1:9" ht="18.75" thickBot="1">
      <c r="A25" s="26" t="s">
        <v>34</v>
      </c>
      <c r="B25" s="47">
        <f>B18-B20-B21-B22-B23-B24</f>
        <v>11125.800000000005</v>
      </c>
      <c r="C25" s="47">
        <f>C18-C20-C21-C22-C23-C24</f>
        <v>13283.600000000011</v>
      </c>
      <c r="D25" s="47">
        <f>D18-D20-D21-D22-D23-D24</f>
        <v>4196.300000000016</v>
      </c>
      <c r="E25" s="1">
        <f>D25/D18*100</f>
        <v>2.434884832842841</v>
      </c>
      <c r="F25" s="1">
        <f t="shared" si="3"/>
        <v>37.71683833971502</v>
      </c>
      <c r="G25" s="1">
        <f t="shared" si="0"/>
        <v>31.590081002138064</v>
      </c>
      <c r="H25" s="48">
        <f t="shared" si="2"/>
        <v>6929.499999999989</v>
      </c>
      <c r="I25" s="48">
        <f t="shared" si="1"/>
        <v>9087.299999999996</v>
      </c>
    </row>
    <row r="26" spans="1:9" ht="57" hidden="1" thickBot="1">
      <c r="A26" s="104" t="s">
        <v>85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86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87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88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89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90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91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37065.9</v>
      </c>
      <c r="C33" s="50">
        <f>50266.1+19.2-3069.6+1137.5</f>
        <v>48353.2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+0.5+21.5+0.1+1406.8+8.9+79.1+1.7+60.6</f>
        <v>33214.299999999996</v>
      </c>
      <c r="E33" s="3">
        <f>D33/D150*100</f>
        <v>3.235143230304293</v>
      </c>
      <c r="F33" s="3">
        <f>D33/B33*100</f>
        <v>89.60877787939857</v>
      </c>
      <c r="G33" s="3">
        <f t="shared" si="0"/>
        <v>68.69100700677514</v>
      </c>
      <c r="H33" s="51">
        <f t="shared" si="2"/>
        <v>3851.600000000006</v>
      </c>
      <c r="I33" s="51">
        <f t="shared" si="1"/>
        <v>15138.900000000001</v>
      </c>
    </row>
    <row r="34" spans="1:9" ht="18">
      <c r="A34" s="26" t="s">
        <v>3</v>
      </c>
      <c r="B34" s="46">
        <v>26991.2</v>
      </c>
      <c r="C34" s="47">
        <f>35016.6+195.2+1137.5</f>
        <v>36349.299999999996</v>
      </c>
      <c r="D34" s="48">
        <f>1335+1268.2+1354.9+1304.2+1357+1359.6+1365.6+1342.2+1381.4+3.9+1624.5+11.9+0.1+10+3950.5+2820.4+0.1+74+93.6+20+430.6+329.1+0.1+119.6+19.5+358.3+39+1137.3+0.1+58.6+10+1391+48.8</f>
        <v>24619.099999999988</v>
      </c>
      <c r="E34" s="1">
        <f>D34/D33*100</f>
        <v>74.12198962495067</v>
      </c>
      <c r="F34" s="1">
        <f t="shared" si="3"/>
        <v>91.21158007054146</v>
      </c>
      <c r="G34" s="1">
        <f t="shared" si="0"/>
        <v>67.72922724784245</v>
      </c>
      <c r="H34" s="48">
        <f t="shared" si="2"/>
        <v>2372.100000000013</v>
      </c>
      <c r="I34" s="48">
        <f t="shared" si="1"/>
        <v>11730.200000000008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1918.5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+3.8+2.7</f>
        <v>1273.9999999999995</v>
      </c>
      <c r="E36" s="1">
        <f>D36/D33*100</f>
        <v>3.835697274968913</v>
      </c>
      <c r="F36" s="1">
        <f t="shared" si="3"/>
        <v>66.40604639040914</v>
      </c>
      <c r="G36" s="1">
        <f t="shared" si="0"/>
        <v>37.643304573927416</v>
      </c>
      <c r="H36" s="48">
        <f t="shared" si="2"/>
        <v>644.5000000000005</v>
      </c>
      <c r="I36" s="48">
        <f t="shared" si="1"/>
        <v>2110.4000000000005</v>
      </c>
    </row>
    <row r="37" spans="1:9" s="41" customFormat="1" ht="18.75">
      <c r="A37" s="20" t="s">
        <v>7</v>
      </c>
      <c r="B37" s="55">
        <v>824.4</v>
      </c>
      <c r="C37" s="56">
        <v>929.3</v>
      </c>
      <c r="D37" s="57">
        <f>11.2+19.5+15.2+5+5.7-0.1+1.9+5.1+7+0.3+7.7+25.8+82+15.4+14.3+13.2+14.4+42.6+0.1+37.6+3+2.6+0.8+1.6+3.9+98.6+0.5+15.5+1.7</f>
        <v>452.1000000000001</v>
      </c>
      <c r="E37" s="17">
        <f>D37/D33*100</f>
        <v>1.3611607048771166</v>
      </c>
      <c r="F37" s="17">
        <f t="shared" si="3"/>
        <v>54.83988355167395</v>
      </c>
      <c r="G37" s="17">
        <f t="shared" si="0"/>
        <v>48.64952114494782</v>
      </c>
      <c r="H37" s="57">
        <f t="shared" si="2"/>
        <v>372.2999999999999</v>
      </c>
      <c r="I37" s="57">
        <f t="shared" si="1"/>
        <v>477.1999999999999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0.0767741605272428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7306.300000000001</v>
      </c>
      <c r="C39" s="46">
        <f>C33-C34-C36-C37-C35-C38</f>
        <v>7629.4000000000015</v>
      </c>
      <c r="D39" s="46">
        <f>D33-D34-D36-D37-D35-D38</f>
        <v>6843.600000000008</v>
      </c>
      <c r="E39" s="1">
        <f>D39/D33*100</f>
        <v>20.604378234676055</v>
      </c>
      <c r="F39" s="1">
        <f t="shared" si="3"/>
        <v>93.6671092071227</v>
      </c>
      <c r="G39" s="1">
        <f t="shared" si="0"/>
        <v>89.70036962277513</v>
      </c>
      <c r="H39" s="48">
        <f>B39-D39</f>
        <v>462.69999999999345</v>
      </c>
      <c r="I39" s="48">
        <f t="shared" si="1"/>
        <v>785.7999999999938</v>
      </c>
    </row>
    <row r="40" spans="1:9" ht="19.5" hidden="1" thickBot="1">
      <c r="A40" s="104" t="s">
        <v>82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83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84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939.9</v>
      </c>
      <c r="C43" s="50">
        <f>829.5+61+9+3+3+433</f>
        <v>1338.5</v>
      </c>
      <c r="D43" s="51">
        <f>22.2+3+5+12.1+5.3+62.1+8.7+22.7+11.7+44.1-0.1+8.7+8.3+9+2+12.1+30.9+11+14.3+28.5+0.1+1.2+34+0.6+0.1+2.3+3+1.5+17.9+19.5+82.4-0.1+0.8+8.4+18.6+22.3+0.1+13.7+8+9.3+10.6+0.7+8+22.7+7+24</f>
        <v>638.3000000000002</v>
      </c>
      <c r="E43" s="3">
        <f>D43/D150*100</f>
        <v>0.06217177311890453</v>
      </c>
      <c r="F43" s="3">
        <f>D43/B43*100</f>
        <v>67.911479944675</v>
      </c>
      <c r="G43" s="3">
        <f t="shared" si="0"/>
        <v>47.68771012327233</v>
      </c>
      <c r="H43" s="51">
        <f t="shared" si="2"/>
        <v>301.5999999999998</v>
      </c>
      <c r="I43" s="51">
        <f t="shared" si="1"/>
        <v>700.1999999999998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5680.4</v>
      </c>
      <c r="C45" s="50">
        <f>7741.6+45.3</f>
        <v>7786.900000000001</v>
      </c>
      <c r="D45" s="51">
        <f>224.1+260.8+14.4+236.4+3.2+114.6+291.3+0.1+96+241.4+13.4+0.1+331+0.7-0.1+39.8+268.9+0.5+9.3+307.6+278.3+1.8+5.2+302.3+9.3+4.6+275.3+25.3+352.3+6.4+0.1+14.8+50.6+5.2+267.1+7.9+293.7+39+18+185.4+5.5+5.1+343.4-0.1+16.4+242.5+9.9</f>
        <v>5218.799999999999</v>
      </c>
      <c r="E45" s="3">
        <f>D45/D150*100</f>
        <v>0.5083221832256601</v>
      </c>
      <c r="F45" s="3">
        <f>D45/B45*100</f>
        <v>91.87381170340116</v>
      </c>
      <c r="G45" s="3">
        <f aca="true" t="shared" si="4" ref="G45:G76">D45/C45*100</f>
        <v>67.02025196162785</v>
      </c>
      <c r="H45" s="51">
        <f>B45-D45</f>
        <v>461.60000000000036</v>
      </c>
      <c r="I45" s="51">
        <f aca="true" t="shared" si="5" ref="I45:I77">C45-D45</f>
        <v>2568.1000000000013</v>
      </c>
    </row>
    <row r="46" spans="1:9" ht="18">
      <c r="A46" s="26" t="s">
        <v>3</v>
      </c>
      <c r="B46" s="46">
        <v>5037.6</v>
      </c>
      <c r="C46" s="47">
        <v>6753.6</v>
      </c>
      <c r="D46" s="48">
        <f>224.1+258.6+235.3+288.8+241.4+328.6+224.6+306.6+239.4+298.3+269.8+13.5+346.9+45.8+263.2+291.7-0.1+38.6+180.3+343.4+215.2</f>
        <v>4654</v>
      </c>
      <c r="E46" s="1">
        <f>D46/D45*100</f>
        <v>89.1775887177129</v>
      </c>
      <c r="F46" s="1">
        <f aca="true" t="shared" si="6" ref="F46:F74">D46/B46*100</f>
        <v>92.38526282356678</v>
      </c>
      <c r="G46" s="1">
        <f t="shared" si="4"/>
        <v>68.91139540393272</v>
      </c>
      <c r="H46" s="48">
        <f aca="true" t="shared" si="7" ref="H46:H74">B46-D46</f>
        <v>383.60000000000036</v>
      </c>
      <c r="I46" s="48">
        <f t="shared" si="5"/>
        <v>2099.6000000000004</v>
      </c>
    </row>
    <row r="47" spans="1:9" ht="18">
      <c r="A47" s="26" t="s">
        <v>2</v>
      </c>
      <c r="B47" s="46">
        <v>1.1</v>
      </c>
      <c r="C47" s="47">
        <v>1.3</v>
      </c>
      <c r="D47" s="48">
        <f>0.3+0.4+0.1+0.3</f>
        <v>1.0999999999999999</v>
      </c>
      <c r="E47" s="1">
        <f>D47/D45*100</f>
        <v>0.021077642369893464</v>
      </c>
      <c r="F47" s="1">
        <f t="shared" si="6"/>
        <v>99.99999999999997</v>
      </c>
      <c r="G47" s="1">
        <f t="shared" si="4"/>
        <v>84.6153846153846</v>
      </c>
      <c r="H47" s="48">
        <f t="shared" si="7"/>
        <v>0</v>
      </c>
      <c r="I47" s="48">
        <f t="shared" si="5"/>
        <v>0.20000000000000018</v>
      </c>
    </row>
    <row r="48" spans="1:9" ht="18">
      <c r="A48" s="26" t="s">
        <v>1</v>
      </c>
      <c r="B48" s="46">
        <v>39.2</v>
      </c>
      <c r="C48" s="47">
        <v>70.7</v>
      </c>
      <c r="D48" s="48">
        <f>0.2+2.1+0.1+6.5+6.7-0.1+7+4.6+1.6+2+4.6</f>
        <v>35.300000000000004</v>
      </c>
      <c r="E48" s="1">
        <f>D48/D45*100</f>
        <v>0.6764007051429449</v>
      </c>
      <c r="F48" s="1">
        <f t="shared" si="6"/>
        <v>90.05102040816327</v>
      </c>
      <c r="G48" s="1">
        <f t="shared" si="4"/>
        <v>49.92927864214993</v>
      </c>
      <c r="H48" s="48">
        <f t="shared" si="7"/>
        <v>3.8999999999999986</v>
      </c>
      <c r="I48" s="48">
        <f t="shared" si="5"/>
        <v>35.4</v>
      </c>
    </row>
    <row r="49" spans="1:9" ht="18">
      <c r="A49" s="26" t="s">
        <v>0</v>
      </c>
      <c r="B49" s="46">
        <v>337.1</v>
      </c>
      <c r="C49" s="47">
        <f>568.5+40.5</f>
        <v>609</v>
      </c>
      <c r="D49" s="48">
        <f>2.2+2.5+0.8+112.4+2.2+0.1+69.1+4.4-0.1+35.2+27.4+4.8+1+22.3+2.5+1.6+0.6+4.2-0.1+0.5+5.1+0.3+0.5+1.6+0.3+1.5</f>
        <v>302.9000000000001</v>
      </c>
      <c r="E49" s="1">
        <f>D49/D45*100</f>
        <v>5.8040162489461204</v>
      </c>
      <c r="F49" s="1">
        <f t="shared" si="6"/>
        <v>89.85464253930586</v>
      </c>
      <c r="G49" s="1">
        <f t="shared" si="4"/>
        <v>49.73727422003286</v>
      </c>
      <c r="H49" s="48">
        <f t="shared" si="7"/>
        <v>34.19999999999993</v>
      </c>
      <c r="I49" s="48">
        <f t="shared" si="5"/>
        <v>306.0999999999999</v>
      </c>
    </row>
    <row r="50" spans="1:9" ht="18.75" thickBot="1">
      <c r="A50" s="26" t="s">
        <v>34</v>
      </c>
      <c r="B50" s="47">
        <f>B45-B46-B49-B48-B47</f>
        <v>265.39999999999924</v>
      </c>
      <c r="C50" s="47">
        <f>C45-C46-C49-C48-C47</f>
        <v>352.3000000000002</v>
      </c>
      <c r="D50" s="47">
        <f>D45-D46-D49-D48-D47</f>
        <v>225.49999999999918</v>
      </c>
      <c r="E50" s="1">
        <f>D50/D45*100</f>
        <v>4.320916685828145</v>
      </c>
      <c r="F50" s="1">
        <f t="shared" si="6"/>
        <v>84.96608892238125</v>
      </c>
      <c r="G50" s="1">
        <f t="shared" si="4"/>
        <v>64.00794777178514</v>
      </c>
      <c r="H50" s="48">
        <f t="shared" si="7"/>
        <v>39.90000000000006</v>
      </c>
      <c r="I50" s="48">
        <f t="shared" si="5"/>
        <v>126.800000000001</v>
      </c>
    </row>
    <row r="51" spans="1:9" ht="18.75" thickBot="1">
      <c r="A51" s="25" t="s">
        <v>4</v>
      </c>
      <c r="B51" s="49">
        <v>12847.3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+3.9+0.6+340.5+72.9+24.9</f>
        <v>10027.499999999995</v>
      </c>
      <c r="E51" s="3">
        <f>D51/D150*100</f>
        <v>0.9766997570888527</v>
      </c>
      <c r="F51" s="3">
        <f>D51/B51*100</f>
        <v>78.05141936438002</v>
      </c>
      <c r="G51" s="3">
        <f t="shared" si="4"/>
        <v>58.499746223987934</v>
      </c>
      <c r="H51" s="51">
        <f>B51-D51</f>
        <v>2819.8000000000047</v>
      </c>
      <c r="I51" s="51">
        <f t="shared" si="5"/>
        <v>7113.600000000004</v>
      </c>
    </row>
    <row r="52" spans="1:9" ht="18">
      <c r="A52" s="26" t="s">
        <v>3</v>
      </c>
      <c r="B52" s="46">
        <v>7647.2</v>
      </c>
      <c r="C52" s="47">
        <v>10328.7</v>
      </c>
      <c r="D52" s="48">
        <f>8+294.9+437.7+298.5+423.7+297.9+451.2+294.5+446+301+554.2+412+820.4+487.4+393.4+0.1+169.4+354.3-0.1+300.5</f>
        <v>6744.999999999998</v>
      </c>
      <c r="E52" s="1">
        <f>D52/D51*100</f>
        <v>67.26502119172278</v>
      </c>
      <c r="F52" s="1">
        <f t="shared" si="6"/>
        <v>88.20221780520973</v>
      </c>
      <c r="G52" s="1">
        <f t="shared" si="4"/>
        <v>65.30347478385468</v>
      </c>
      <c r="H52" s="48">
        <f t="shared" si="7"/>
        <v>902.2000000000016</v>
      </c>
      <c r="I52" s="48">
        <f t="shared" si="5"/>
        <v>3583.7000000000025</v>
      </c>
    </row>
    <row r="53" spans="1:9" ht="18">
      <c r="A53" s="26" t="s">
        <v>2</v>
      </c>
      <c r="B53" s="46">
        <v>3</v>
      </c>
      <c r="C53" s="47">
        <v>12</v>
      </c>
      <c r="D53" s="48"/>
      <c r="E53" s="1">
        <f>D53/D51*100</f>
        <v>0</v>
      </c>
      <c r="F53" s="111">
        <f t="shared" si="6"/>
        <v>0</v>
      </c>
      <c r="G53" s="1">
        <f t="shared" si="4"/>
        <v>0</v>
      </c>
      <c r="H53" s="48">
        <f t="shared" si="7"/>
        <v>3</v>
      </c>
      <c r="I53" s="48">
        <f t="shared" si="5"/>
        <v>12</v>
      </c>
    </row>
    <row r="54" spans="1:9" ht="18">
      <c r="A54" s="26" t="s">
        <v>1</v>
      </c>
      <c r="B54" s="46">
        <v>211.3</v>
      </c>
      <c r="C54" s="47">
        <v>287</v>
      </c>
      <c r="D54" s="48">
        <f>1.3+0.7+2.1+1+1.3+7.6+7.5+6.3+0.4+13+20.7+0.5+5.3+9.4+10+8.9+5.1+7.2+1-0.1+17.9+7.1+3.8+1.6+1.9+6.6+0.6</f>
        <v>148.70000000000002</v>
      </c>
      <c r="E54" s="1">
        <f>D54/D51*100</f>
        <v>1.4829219645973584</v>
      </c>
      <c r="F54" s="1">
        <f t="shared" si="6"/>
        <v>70.37387600567914</v>
      </c>
      <c r="G54" s="1">
        <f t="shared" si="4"/>
        <v>51.81184668989548</v>
      </c>
      <c r="H54" s="48">
        <f t="shared" si="7"/>
        <v>62.599999999999994</v>
      </c>
      <c r="I54" s="48">
        <f t="shared" si="5"/>
        <v>138.29999999999998</v>
      </c>
    </row>
    <row r="55" spans="1:9" ht="18">
      <c r="A55" s="26" t="s">
        <v>0</v>
      </c>
      <c r="B55" s="46">
        <v>613.8</v>
      </c>
      <c r="C55" s="47">
        <v>933.1</v>
      </c>
      <c r="D55" s="48">
        <f>10.7+0.6+7.6+85.1+28.4+14.4+0.1+8.5+0.1+7+0.1+7.7+62.8+6+1.3+0.9+0.9+1+0.7+0.1+4.7+15.2+34.9+9+4+15.8+5.5+7+1.9+1.5+0.1+2.4+1.8+3.7+1.3+4.5+2.3+0.7+0.1+1.8+6.8+1.6+0.7+0.5+1.1+12.5+0.8+0.8+0.7</f>
        <v>387.70000000000005</v>
      </c>
      <c r="E55" s="1">
        <f>D55/D51*100</f>
        <v>3.866367489404141</v>
      </c>
      <c r="F55" s="1">
        <f t="shared" si="6"/>
        <v>63.16389703486479</v>
      </c>
      <c r="G55" s="1">
        <f t="shared" si="4"/>
        <v>41.54967313256886</v>
      </c>
      <c r="H55" s="48">
        <f t="shared" si="7"/>
        <v>226.0999999999999</v>
      </c>
      <c r="I55" s="48">
        <f t="shared" si="5"/>
        <v>545.4</v>
      </c>
    </row>
    <row r="56" spans="1:9" ht="18">
      <c r="A56" s="26" t="s">
        <v>15</v>
      </c>
      <c r="B56" s="46">
        <v>200</v>
      </c>
      <c r="C56" s="47">
        <v>200</v>
      </c>
      <c r="D56" s="47">
        <f>40+40+40+40</f>
        <v>160</v>
      </c>
      <c r="E56" s="1">
        <f>D56/D51*100</f>
        <v>1.5956120668162561</v>
      </c>
      <c r="F56" s="1">
        <f>D56/B56*100</f>
        <v>80</v>
      </c>
      <c r="G56" s="1">
        <f>D56/C56*100</f>
        <v>80</v>
      </c>
      <c r="H56" s="48">
        <f t="shared" si="7"/>
        <v>40</v>
      </c>
      <c r="I56" s="48">
        <f t="shared" si="5"/>
        <v>40</v>
      </c>
    </row>
    <row r="57" spans="1:9" ht="18.75" thickBot="1">
      <c r="A57" s="26" t="s">
        <v>34</v>
      </c>
      <c r="B57" s="47">
        <f>B51-B52-B55-B54-B53-B56</f>
        <v>4171.999999999999</v>
      </c>
      <c r="C57" s="47">
        <f>C51-C52-C55-C54-C53-C56</f>
        <v>5380.299999999997</v>
      </c>
      <c r="D57" s="47">
        <f>D51-D52-D55-D54-D53-D56</f>
        <v>2586.0999999999967</v>
      </c>
      <c r="E57" s="1">
        <f>D57/D51*100</f>
        <v>25.790077287459468</v>
      </c>
      <c r="F57" s="1">
        <f t="shared" si="6"/>
        <v>61.98705656759341</v>
      </c>
      <c r="G57" s="1">
        <f t="shared" si="4"/>
        <v>48.06609296879352</v>
      </c>
      <c r="H57" s="48">
        <f>B57-D57</f>
        <v>1585.9000000000024</v>
      </c>
      <c r="I57" s="48">
        <f>C57-D57</f>
        <v>2794.2000000000007</v>
      </c>
    </row>
    <row r="58" spans="1:9" s="41" customFormat="1" ht="19.5" hidden="1" thickBot="1">
      <c r="A58" s="104" t="s">
        <v>81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v>5427</v>
      </c>
      <c r="C59" s="50">
        <f>5881.8+134.4+115.2</f>
        <v>6131.4</v>
      </c>
      <c r="D59" s="51">
        <f>43.5+4.7+72.8+47.2+46+5+62.5+3.8+40.9+35.3+2.1+2.9+21.1+3.9+86.8+0.2+2.7+44.1+47.3+140.1+0.1+45.6+13.8+0.9+95.5-0.1+6.7+60.6+0.7+0.5+92.7+2.8+4+111.8+66.3+34+5.8+77.7+2.3+68.7+75.6+2+307.4+46.6+2.4+84.1+735+554.7+36.1+0.4</f>
        <v>3247.5999999999995</v>
      </c>
      <c r="E59" s="3">
        <f>D59/D150*100</f>
        <v>0.31632312451974665</v>
      </c>
      <c r="F59" s="3">
        <f>D59/B59*100</f>
        <v>59.841533075363905</v>
      </c>
      <c r="G59" s="3">
        <f t="shared" si="4"/>
        <v>52.96669602374661</v>
      </c>
      <c r="H59" s="51">
        <f>B59-D59</f>
        <v>2179.4000000000005</v>
      </c>
      <c r="I59" s="51">
        <f t="shared" si="5"/>
        <v>2883.8</v>
      </c>
    </row>
    <row r="60" spans="1:9" ht="18">
      <c r="A60" s="26" t="s">
        <v>3</v>
      </c>
      <c r="B60" s="46">
        <v>1249.5</v>
      </c>
      <c r="C60" s="47">
        <f>1508.2+134.4</f>
        <v>1642.6000000000001</v>
      </c>
      <c r="D60" s="48">
        <f>43.5+72.8+47.2+62.5+0.1+35.3+86.8+44.1+125.7+41.4+92.3+60.6+92.7+66.3+68.7-0.1+2+54.7+84.1+36.1</f>
        <v>1116.8</v>
      </c>
      <c r="E60" s="1">
        <f>D60/D59*100</f>
        <v>34.38847148663629</v>
      </c>
      <c r="F60" s="1">
        <f t="shared" si="6"/>
        <v>89.3797519007603</v>
      </c>
      <c r="G60" s="1">
        <f t="shared" si="4"/>
        <v>67.989772312188</v>
      </c>
      <c r="H60" s="48">
        <f t="shared" si="7"/>
        <v>132.70000000000005</v>
      </c>
      <c r="I60" s="48">
        <f t="shared" si="5"/>
        <v>525.8000000000002</v>
      </c>
    </row>
    <row r="61" spans="1:9" ht="18">
      <c r="A61" s="26" t="s">
        <v>1</v>
      </c>
      <c r="B61" s="46">
        <v>331.8</v>
      </c>
      <c r="C61" s="47">
        <v>331.8</v>
      </c>
      <c r="D61" s="48">
        <f>111.8+77.7+75.6+46.6</f>
        <v>311.70000000000005</v>
      </c>
      <c r="E61" s="1">
        <f>D61/D59*100</f>
        <v>9.59785687892598</v>
      </c>
      <c r="F61" s="1">
        <f>D61/B61*100</f>
        <v>93.94213381555154</v>
      </c>
      <c r="G61" s="1">
        <f t="shared" si="4"/>
        <v>93.94213381555154</v>
      </c>
      <c r="H61" s="48">
        <f t="shared" si="7"/>
        <v>20.099999999999966</v>
      </c>
      <c r="I61" s="48">
        <f t="shared" si="5"/>
        <v>20.099999999999966</v>
      </c>
    </row>
    <row r="62" spans="1:9" ht="18">
      <c r="A62" s="26" t="s">
        <v>0</v>
      </c>
      <c r="B62" s="46">
        <v>377.3</v>
      </c>
      <c r="C62" s="47">
        <v>627.5</v>
      </c>
      <c r="D62" s="48">
        <f>4.7+45.7+4.9+40.9+19.8+3.9+46.3+9+12.6+0.9+3+0.3+2.8+0.3+0.1+2.2+0.3+2.2+0.3</f>
        <v>200.20000000000002</v>
      </c>
      <c r="E62" s="1">
        <f>D62/D59*100</f>
        <v>6.164552284764135</v>
      </c>
      <c r="F62" s="1">
        <f t="shared" si="6"/>
        <v>53.06122448979592</v>
      </c>
      <c r="G62" s="1">
        <f t="shared" si="4"/>
        <v>31.904382470119526</v>
      </c>
      <c r="H62" s="48">
        <f t="shared" si="7"/>
        <v>177.1</v>
      </c>
      <c r="I62" s="48">
        <f t="shared" si="5"/>
        <v>427.29999999999995</v>
      </c>
    </row>
    <row r="63" spans="1:9" ht="18">
      <c r="A63" s="26" t="s">
        <v>15</v>
      </c>
      <c r="B63" s="46">
        <f>3216.2+115.2</f>
        <v>3331.3999999999996</v>
      </c>
      <c r="C63" s="47">
        <f>3216.2+115.2</f>
        <v>3331.3999999999996</v>
      </c>
      <c r="D63" s="48">
        <f>252+735+554.4</f>
        <v>1541.4</v>
      </c>
      <c r="E63" s="1">
        <f>D63/D59*100</f>
        <v>47.462741716960224</v>
      </c>
      <c r="F63" s="1">
        <f t="shared" si="6"/>
        <v>46.26883592483642</v>
      </c>
      <c r="G63" s="1">
        <f t="shared" si="4"/>
        <v>46.26883592483642</v>
      </c>
      <c r="H63" s="48">
        <f t="shared" si="7"/>
        <v>1789.9999999999995</v>
      </c>
      <c r="I63" s="48">
        <f t="shared" si="5"/>
        <v>1789.9999999999995</v>
      </c>
    </row>
    <row r="64" spans="1:9" ht="18.75" thickBot="1">
      <c r="A64" s="26" t="s">
        <v>34</v>
      </c>
      <c r="B64" s="47">
        <f>B59-B60-B62-B63-B61</f>
        <v>137.00000000000017</v>
      </c>
      <c r="C64" s="47">
        <f>C59-C60-C62-C63-C61</f>
        <v>198.09999999999962</v>
      </c>
      <c r="D64" s="47">
        <f>D59-D60-D62-D63-D61</f>
        <v>77.49999999999909</v>
      </c>
      <c r="E64" s="1">
        <f>D64/D59*100</f>
        <v>2.386377632713361</v>
      </c>
      <c r="F64" s="1">
        <f t="shared" si="6"/>
        <v>56.5693430656927</v>
      </c>
      <c r="G64" s="1">
        <f t="shared" si="4"/>
        <v>39.12165572942919</v>
      </c>
      <c r="H64" s="48">
        <f t="shared" si="7"/>
        <v>59.50000000000108</v>
      </c>
      <c r="I64" s="48">
        <f t="shared" si="5"/>
        <v>120.60000000000053</v>
      </c>
    </row>
    <row r="65" spans="1:9" s="41" customFormat="1" ht="19.5" hidden="1" thickBot="1">
      <c r="A65" s="104" t="s">
        <v>92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78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79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80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248.10000000000002</v>
      </c>
      <c r="C69" s="50">
        <f>C70+C71</f>
        <v>369.7</v>
      </c>
      <c r="D69" s="51">
        <f>SUM(D70:D71)</f>
        <v>179.5</v>
      </c>
      <c r="E69" s="39">
        <f>D69/D150*100</f>
        <v>0.017483680518319538</v>
      </c>
      <c r="F69" s="3">
        <f>D69/B69*100</f>
        <v>72.34985892785166</v>
      </c>
      <c r="G69" s="3">
        <f t="shared" si="4"/>
        <v>48.55288071409251</v>
      </c>
      <c r="H69" s="51">
        <f>B69-D69</f>
        <v>68.60000000000002</v>
      </c>
      <c r="I69" s="51">
        <f t="shared" si="5"/>
        <v>190.2</v>
      </c>
    </row>
    <row r="70" spans="1:9" ht="18">
      <c r="A70" s="26" t="s">
        <v>8</v>
      </c>
      <c r="B70" s="46">
        <v>170.9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8">
        <f t="shared" si="7"/>
        <v>1</v>
      </c>
      <c r="I70" s="48">
        <f t="shared" si="5"/>
        <v>1.0999999999999943</v>
      </c>
    </row>
    <row r="71" spans="1:9" ht="18.75" thickBot="1">
      <c r="A71" s="26" t="s">
        <v>9</v>
      </c>
      <c r="B71" s="46">
        <v>77.2</v>
      </c>
      <c r="C71" s="47">
        <f>253.4-6+145-41+16.1-168.8</f>
        <v>198.7</v>
      </c>
      <c r="D71" s="48">
        <f>9.6</f>
        <v>9.6</v>
      </c>
      <c r="E71" s="1">
        <f>D71/D70*100</f>
        <v>5.650382577987051</v>
      </c>
      <c r="F71" s="1">
        <f t="shared" si="6"/>
        <v>12.435233160621761</v>
      </c>
      <c r="G71" s="1">
        <f t="shared" si="4"/>
        <v>4.831404126824358</v>
      </c>
      <c r="H71" s="48">
        <f t="shared" si="7"/>
        <v>67.60000000000001</v>
      </c>
      <c r="I71" s="48">
        <f t="shared" si="5"/>
        <v>189.1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818.5</v>
      </c>
      <c r="C77" s="66">
        <f>10000-8192+3069.6</f>
        <v>4877.6</v>
      </c>
      <c r="D77" s="67"/>
      <c r="E77" s="45"/>
      <c r="F77" s="45"/>
      <c r="G77" s="45"/>
      <c r="H77" s="67">
        <f>B77-D77</f>
        <v>818.5</v>
      </c>
      <c r="I77" s="67">
        <f t="shared" si="5"/>
        <v>4877.6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72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71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v>45963.3</v>
      </c>
      <c r="C90" s="50">
        <f>50201.5+5861+2853.8+11.8-0.1+368.5</f>
        <v>59296.50000000001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+3.2+16.1+45.5+127.9+241.6+813.9+349.3+10.7+91.6+15.8+3.9+28.2+5.5+480.3+911.5+1173.2+22.1+24+92.6+21.3+38.1+215.3+162.2+457.8+900.2+167.7+3.4+5.9+41.7+11.1+18.2+49.7+33.7+1.6+11.6+1418.6+962.9-0.2+22.9+173.2+20.8+50.1+73.8+9.3+157.2+630.6+619.8+16.8+19.4+48.8+11.8</f>
        <v>39628.6</v>
      </c>
      <c r="E90" s="3">
        <f>D90/D150*100</f>
        <v>3.859909647845558</v>
      </c>
      <c r="F90" s="3">
        <f aca="true" t="shared" si="10" ref="F90:F96">D90/B90*100</f>
        <v>86.21791733839824</v>
      </c>
      <c r="G90" s="3">
        <f t="shared" si="8"/>
        <v>66.83126322801513</v>
      </c>
      <c r="H90" s="51">
        <f aca="true" t="shared" si="11" ref="H90:H96">B90-D90</f>
        <v>6334.700000000004</v>
      </c>
      <c r="I90" s="51">
        <f t="shared" si="9"/>
        <v>19667.90000000001</v>
      </c>
    </row>
    <row r="91" spans="1:9" ht="18">
      <c r="A91" s="26" t="s">
        <v>3</v>
      </c>
      <c r="B91" s="46">
        <v>38479.7</v>
      </c>
      <c r="C91" s="47">
        <f>41785.6+5825.3+1852.2+217.6</f>
        <v>49680.7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+28.3+70+9.1+128.5+614.6+569.2+16.1+1.9+11.2</f>
        <v>33891.49999999999</v>
      </c>
      <c r="E91" s="1">
        <f>D91/D90*100</f>
        <v>85.5228294716442</v>
      </c>
      <c r="F91" s="1">
        <f t="shared" si="10"/>
        <v>88.07631036624505</v>
      </c>
      <c r="G91" s="1">
        <f t="shared" si="8"/>
        <v>68.21864426225878</v>
      </c>
      <c r="H91" s="48">
        <f t="shared" si="11"/>
        <v>4588.200000000004</v>
      </c>
      <c r="I91" s="48">
        <f t="shared" si="9"/>
        <v>15789.200000000004</v>
      </c>
    </row>
    <row r="92" spans="1:9" ht="18">
      <c r="A92" s="26" t="s">
        <v>32</v>
      </c>
      <c r="B92" s="46">
        <v>1359.7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9.8+96.8+35.3+50.2+1.4+30+1.1+18.1+138.1+43.8+4.2+9.3+27.5+5.8+0.2+2.4+1+11.7+14.7+34.3+26.9+2.8+30.4+0.1+10.2+1.4+0.2+22+131.7+1.9+1.6+30.8+150.2+0.9+0.6+2.2+0.6+31.6+20.6+1+0.3+3+17.7+35.6+0.9+0.3+39.3+12.6+23.9+20.8+0.8+3.9</f>
        <v>1162.4999999999998</v>
      </c>
      <c r="E92" s="1">
        <f>D92/D90*100</f>
        <v>2.9334874307949304</v>
      </c>
      <c r="F92" s="1">
        <f t="shared" si="10"/>
        <v>85.49680076487458</v>
      </c>
      <c r="G92" s="1">
        <f t="shared" si="8"/>
        <v>54.79871782784952</v>
      </c>
      <c r="H92" s="48">
        <f t="shared" si="11"/>
        <v>197.20000000000027</v>
      </c>
      <c r="I92" s="48">
        <f t="shared" si="9"/>
        <v>958.9000000000003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6123.900000000006</v>
      </c>
      <c r="C94" s="47">
        <f>C90-C91-C92-C93</f>
        <v>7494.400000000011</v>
      </c>
      <c r="D94" s="47">
        <f>D90-D91-D92-D93</f>
        <v>4574.600000000006</v>
      </c>
      <c r="E94" s="1">
        <f>D94/D90*100</f>
        <v>11.543683097560868</v>
      </c>
      <c r="F94" s="1">
        <f t="shared" si="10"/>
        <v>74.70076258593382</v>
      </c>
      <c r="G94" s="1">
        <f>D94/C94*100</f>
        <v>61.04024338172501</v>
      </c>
      <c r="H94" s="48">
        <f t="shared" si="11"/>
        <v>1549.3000000000002</v>
      </c>
      <c r="I94" s="48">
        <f>C94-D94</f>
        <v>2919.8000000000047</v>
      </c>
    </row>
    <row r="95" spans="1:9" ht="18.75">
      <c r="A95" s="116" t="s">
        <v>12</v>
      </c>
      <c r="B95" s="119">
        <f>63921.7-1200</f>
        <v>62721.7</v>
      </c>
      <c r="C95" s="121">
        <f>63500.4+11490.6+4535.2-1.1-1111.2</f>
        <v>78413.9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+627.6+37.3+404.5+7+105.8+10.9+68+190.3</f>
        <v>59102.80000000001</v>
      </c>
      <c r="E95" s="115">
        <f>D95/D150*100</f>
        <v>5.756738010797416</v>
      </c>
      <c r="F95" s="118">
        <f t="shared" si="10"/>
        <v>94.23022654041586</v>
      </c>
      <c r="G95" s="114">
        <f>D95/C95*100</f>
        <v>75.37286118915144</v>
      </c>
      <c r="H95" s="120">
        <f t="shared" si="11"/>
        <v>3618.899999999987</v>
      </c>
      <c r="I95" s="130">
        <f>C95-D95</f>
        <v>19311.099999999984</v>
      </c>
    </row>
    <row r="96" spans="1:9" ht="18.75" thickBot="1">
      <c r="A96" s="117" t="s">
        <v>99</v>
      </c>
      <c r="B96" s="122">
        <v>5140.1</v>
      </c>
      <c r="C96" s="123">
        <f>5343.5+287.2+2416.8+30</f>
        <v>8077.5</v>
      </c>
      <c r="D96" s="124">
        <f>57.3+368.5+61.1+0.1+320+59+0.8+309+245.5+61.2+0.4-0.1+489+12.5+64.8+24.2+437.3+329.2+2.4+382.5+3.4+31.2+13.3+8.3+121.6+67.7+362.1+4.1+31.3+64.2+20.6+78.1+394.5+37.3</f>
        <v>4462.400000000001</v>
      </c>
      <c r="E96" s="125">
        <f>D96/D95*100</f>
        <v>7.550234506656199</v>
      </c>
      <c r="F96" s="126">
        <f t="shared" si="10"/>
        <v>86.81543160638898</v>
      </c>
      <c r="G96" s="127">
        <f>D96/C96*100</f>
        <v>55.244815846487164</v>
      </c>
      <c r="H96" s="131">
        <f t="shared" si="11"/>
        <v>677.6999999999998</v>
      </c>
      <c r="I96" s="132">
        <f>C96-D96</f>
        <v>3615.0999999999995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v>7671.2</v>
      </c>
      <c r="C102" s="100">
        <f>10703.3-154-3.5-134.3+83.4</f>
        <v>10494.9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+18.4+121.3+4+17.3+7.5+0.8+3.2</f>
        <v>5684.000000000001</v>
      </c>
      <c r="E102" s="22">
        <f>D102/D150*100</f>
        <v>0.5536336493934723</v>
      </c>
      <c r="F102" s="22">
        <f>D102/B102*100</f>
        <v>74.09531755136095</v>
      </c>
      <c r="G102" s="22">
        <f aca="true" t="shared" si="12" ref="G102:G148">D102/C102*100</f>
        <v>54.15963944392039</v>
      </c>
      <c r="H102" s="87">
        <f aca="true" t="shared" si="13" ref="H102:H107">B102-D102</f>
        <v>1987.199999999999</v>
      </c>
      <c r="I102" s="87">
        <f aca="true" t="shared" si="14" ref="I102:I148">C102-D102</f>
        <v>4810.899999999999</v>
      </c>
    </row>
    <row r="103" spans="1:9" ht="18">
      <c r="A103" s="26" t="s">
        <v>3</v>
      </c>
      <c r="B103" s="97">
        <f>91.9+1.4</f>
        <v>93.30000000000001</v>
      </c>
      <c r="C103" s="95">
        <v>187.6</v>
      </c>
      <c r="D103" s="95">
        <f>15.1+18.9-0.1+18.6+22.1+18.4</f>
        <v>93</v>
      </c>
      <c r="E103" s="91">
        <f>D103/D102*100</f>
        <v>1.6361717100633353</v>
      </c>
      <c r="F103" s="1">
        <f>D103/B103*100</f>
        <v>99.67845659163986</v>
      </c>
      <c r="G103" s="91">
        <f>D103/C103*100</f>
        <v>49.57356076759062</v>
      </c>
      <c r="H103" s="95">
        <f t="shared" si="13"/>
        <v>0.30000000000001137</v>
      </c>
      <c r="I103" s="95">
        <f t="shared" si="14"/>
        <v>94.6</v>
      </c>
    </row>
    <row r="104" spans="1:9" ht="18">
      <c r="A104" s="93" t="s">
        <v>60</v>
      </c>
      <c r="B104" s="78">
        <f>6193.5-1.4</f>
        <v>6192.1</v>
      </c>
      <c r="C104" s="48">
        <f>8863.3-154-3.5-134.3+25.3</f>
        <v>8596.8</v>
      </c>
      <c r="D104" s="48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+121.1+4+17.3+7.4+3.1</f>
        <v>4844.700000000001</v>
      </c>
      <c r="E104" s="1">
        <f>D104/D102*100</f>
        <v>85.23399014778325</v>
      </c>
      <c r="F104" s="1">
        <f aca="true" t="shared" si="15" ref="F104:F148">D104/B104*100</f>
        <v>78.2400155036256</v>
      </c>
      <c r="G104" s="1">
        <f t="shared" si="12"/>
        <v>56.35469011725295</v>
      </c>
      <c r="H104" s="48">
        <f t="shared" si="13"/>
        <v>1347.3999999999996</v>
      </c>
      <c r="I104" s="48">
        <f t="shared" si="14"/>
        <v>3752.0999999999985</v>
      </c>
    </row>
    <row r="105" spans="1:9" ht="54.75" hidden="1" thickBot="1">
      <c r="A105" s="94" t="s">
        <v>95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1385.7999999999993</v>
      </c>
      <c r="C106" s="96">
        <f>C102-C103-C104</f>
        <v>1710.5</v>
      </c>
      <c r="D106" s="96">
        <f>D102-D103-D104</f>
        <v>746.3000000000002</v>
      </c>
      <c r="E106" s="92">
        <f>D106/D102*100</f>
        <v>13.129838142153414</v>
      </c>
      <c r="F106" s="92">
        <f t="shared" si="15"/>
        <v>53.85336989464573</v>
      </c>
      <c r="G106" s="92">
        <f t="shared" si="12"/>
        <v>43.63051739257528</v>
      </c>
      <c r="H106" s="132">
        <f>B106-D106</f>
        <v>639.4999999999991</v>
      </c>
      <c r="I106" s="132">
        <f t="shared" si="14"/>
        <v>964.1999999999998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445521.6</v>
      </c>
      <c r="C107" s="89">
        <f>SUM(C108:C147)-C115-C119+C148-C139-C140-C109-C112-C122-C123-C137-C131-C129</f>
        <v>564060.3999999999</v>
      </c>
      <c r="D107" s="89">
        <f>SUM(D108:D147)-D115-D119+D148-D139-D140-D109-D112-D122-D123-D137-D131-D129</f>
        <v>417835.60000000003</v>
      </c>
      <c r="E107" s="90">
        <f>D107/D150*100</f>
        <v>40.69807320100477</v>
      </c>
      <c r="F107" s="90">
        <f>D107/B107*100</f>
        <v>93.78571095093932</v>
      </c>
      <c r="G107" s="90">
        <f t="shared" si="12"/>
        <v>74.07639323731999</v>
      </c>
      <c r="H107" s="89">
        <f t="shared" si="13"/>
        <v>27685.99999999994</v>
      </c>
      <c r="I107" s="89">
        <f t="shared" si="14"/>
        <v>146224.79999999987</v>
      </c>
    </row>
    <row r="108" spans="1:9" ht="37.5">
      <c r="A108" s="31" t="s">
        <v>64</v>
      </c>
      <c r="B108" s="75">
        <v>1488.3</v>
      </c>
      <c r="C108" s="71">
        <v>2166.2</v>
      </c>
      <c r="D108" s="76">
        <f>142.7+0.9+78.6+37.4+44.2+140.1+1+20.9+25.7+0.2+2+0.6+0.4+1.8+1.5-0.1+62.6+2.1+1.9+2.9+1+9.8+0.1+52+4.8+2+1.2+2+5.2+2.6-0.1+56.3+43+2.2+0.3+6.3+0.1+46.4+1.3+6.5+1.2+1-0.1+67.4+1.9+0.3</f>
        <v>882.0999999999997</v>
      </c>
      <c r="E108" s="6">
        <f>D108/D107*100</f>
        <v>0.21111173868382677</v>
      </c>
      <c r="F108" s="6">
        <f t="shared" si="15"/>
        <v>59.26896459047233</v>
      </c>
      <c r="G108" s="6">
        <f t="shared" si="12"/>
        <v>40.72107838611392</v>
      </c>
      <c r="H108" s="65">
        <f aca="true" t="shared" si="16" ref="H108:H148">B108-D108</f>
        <v>606.2000000000003</v>
      </c>
      <c r="I108" s="65">
        <f t="shared" si="14"/>
        <v>1284.1000000000001</v>
      </c>
    </row>
    <row r="109" spans="1:9" ht="18">
      <c r="A109" s="26" t="s">
        <v>32</v>
      </c>
      <c r="B109" s="78">
        <v>770.9</v>
      </c>
      <c r="C109" s="48">
        <v>1213.5</v>
      </c>
      <c r="D109" s="79">
        <f>142.7+0.9+78.6+37.4+20.9+42.5+24.8+0.6+32.7+0.1+16.7+37.6</f>
        <v>435.5</v>
      </c>
      <c r="E109" s="1">
        <f>D109/D108*100</f>
        <v>49.37081963496204</v>
      </c>
      <c r="F109" s="1">
        <f t="shared" si="15"/>
        <v>56.492411467116355</v>
      </c>
      <c r="G109" s="1">
        <f t="shared" si="12"/>
        <v>35.88792748248867</v>
      </c>
      <c r="H109" s="48">
        <f t="shared" si="16"/>
        <v>335.4</v>
      </c>
      <c r="I109" s="48">
        <f t="shared" si="14"/>
        <v>778</v>
      </c>
    </row>
    <row r="110" spans="1:9" ht="34.5" customHeight="1">
      <c r="A110" s="16" t="s">
        <v>94</v>
      </c>
      <c r="B110" s="77">
        <v>526.9</v>
      </c>
      <c r="C110" s="65">
        <v>778.3</v>
      </c>
      <c r="D110" s="76">
        <f>26.5+20.2+7.7+37.4+7.5+38.9-0.1+38.9+12.6+45.5+9.7+1.6+37.6-0.1+56.2+1.4+57.4</f>
        <v>398.8999999999999</v>
      </c>
      <c r="E110" s="6">
        <f>D110/D107*100</f>
        <v>0.09546816977777861</v>
      </c>
      <c r="F110" s="6">
        <f>D110/B110*100</f>
        <v>75.7069652685519</v>
      </c>
      <c r="G110" s="6">
        <f t="shared" si="12"/>
        <v>51.25273030964923</v>
      </c>
      <c r="H110" s="65">
        <f t="shared" si="16"/>
        <v>128.00000000000006</v>
      </c>
      <c r="I110" s="65">
        <f t="shared" si="14"/>
        <v>379.40000000000003</v>
      </c>
    </row>
    <row r="111" spans="1:9" s="41" customFormat="1" ht="34.5" customHeight="1">
      <c r="A111" s="16" t="s">
        <v>70</v>
      </c>
      <c r="B111" s="77">
        <v>719.1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719.1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114</v>
      </c>
      <c r="B113" s="77">
        <v>50</v>
      </c>
      <c r="C113" s="65">
        <v>50</v>
      </c>
      <c r="D113" s="76">
        <f>5.8+4.7+0.7+0.7+1</f>
        <v>12.899999999999999</v>
      </c>
      <c r="E113" s="6">
        <f>D113/D107*100</f>
        <v>0.0030873386566391174</v>
      </c>
      <c r="F113" s="6">
        <f t="shared" si="15"/>
        <v>25.799999999999994</v>
      </c>
      <c r="G113" s="6">
        <f t="shared" si="12"/>
        <v>25.799999999999994</v>
      </c>
      <c r="H113" s="65">
        <f t="shared" si="16"/>
        <v>37.1</v>
      </c>
      <c r="I113" s="65">
        <f t="shared" si="14"/>
        <v>37.1</v>
      </c>
    </row>
    <row r="114" spans="1:9" ht="37.5">
      <c r="A114" s="16" t="s">
        <v>46</v>
      </c>
      <c r="B114" s="77">
        <v>1271.9</v>
      </c>
      <c r="C114" s="65">
        <v>1795.8</v>
      </c>
      <c r="D114" s="76">
        <f>82.2+4.4+0.2+16.8+100.8+0.1+8.3+21.3+93.2+14.5+11.8+88.2+4.6+1.1+5.8+6+2.3+112.3+12.6+0.8+1.5+0.2+0.2+72.9+5.6+10.9+0.3+11.7+5.8+0.6+108.3+0.1+3+1.3+29.1+101.7+7.2+3.2+0.7+0.2+0.2+0.2</f>
        <v>952.2000000000004</v>
      </c>
      <c r="E114" s="6">
        <f>D114/D107*100</f>
        <v>0.2278886720040131</v>
      </c>
      <c r="F114" s="6">
        <f t="shared" si="15"/>
        <v>74.86437613019893</v>
      </c>
      <c r="G114" s="6">
        <f t="shared" si="12"/>
        <v>53.02372201804212</v>
      </c>
      <c r="H114" s="65">
        <f t="shared" si="16"/>
        <v>319.6999999999997</v>
      </c>
      <c r="I114" s="65">
        <f t="shared" si="14"/>
        <v>843.5999999999996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115</v>
      </c>
      <c r="B116" s="77">
        <v>183.5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183.5</v>
      </c>
      <c r="I116" s="57">
        <f t="shared" si="14"/>
        <v>264.5</v>
      </c>
    </row>
    <row r="117" spans="1:9" ht="37.5">
      <c r="A117" s="16" t="s">
        <v>57</v>
      </c>
      <c r="B117" s="77">
        <v>110</v>
      </c>
      <c r="C117" s="65">
        <v>110</v>
      </c>
      <c r="D117" s="76">
        <f>15</f>
        <v>15</v>
      </c>
      <c r="E117" s="6">
        <f>D117/D107*100</f>
        <v>0.0035899286705106024</v>
      </c>
      <c r="F117" s="6">
        <f>D117/B117*100</f>
        <v>13.636363636363635</v>
      </c>
      <c r="G117" s="6">
        <f t="shared" si="12"/>
        <v>13.636363636363635</v>
      </c>
      <c r="H117" s="65">
        <f t="shared" si="16"/>
        <v>95</v>
      </c>
      <c r="I117" s="65">
        <f t="shared" si="14"/>
        <v>95</v>
      </c>
    </row>
    <row r="118" spans="1:9" s="2" customFormat="1" ht="18.75">
      <c r="A118" s="16" t="s">
        <v>16</v>
      </c>
      <c r="B118" s="77">
        <v>164.7</v>
      </c>
      <c r="C118" s="57">
        <f>229.6+4.4</f>
        <v>234</v>
      </c>
      <c r="D118" s="76">
        <f>17.1-0.3+0.8+0.3+21.4+4.2+0.3+17.6+4.2+0.8+0.3+16.8+0.3+2+2.2+17.7+1.1+4.1+17.7+0.8+4.3+0.3+1.6+0.3+4+0.8+1.7+3</f>
        <v>145.4</v>
      </c>
      <c r="E118" s="6">
        <f>D118/D107*100</f>
        <v>0.03479837524614944</v>
      </c>
      <c r="F118" s="6">
        <f t="shared" si="15"/>
        <v>88.28172434729812</v>
      </c>
      <c r="G118" s="6">
        <f t="shared" si="12"/>
        <v>62.136752136752136</v>
      </c>
      <c r="H118" s="65">
        <f t="shared" si="16"/>
        <v>19.299999999999983</v>
      </c>
      <c r="I118" s="65">
        <f t="shared" si="14"/>
        <v>88.6</v>
      </c>
    </row>
    <row r="119" spans="1:9" s="36" customFormat="1" ht="18">
      <c r="A119" s="37" t="s">
        <v>53</v>
      </c>
      <c r="B119" s="78">
        <v>120.3</v>
      </c>
      <c r="C119" s="48">
        <f>170.2+4.4</f>
        <v>174.6</v>
      </c>
      <c r="D119" s="79">
        <f>17.1-0.3+16.8+16.8+16.8+17.7+17.7</f>
        <v>102.60000000000001</v>
      </c>
      <c r="E119" s="1">
        <f>D119/D118*100</f>
        <v>70.56396148555709</v>
      </c>
      <c r="F119" s="1">
        <f t="shared" si="15"/>
        <v>85.28678304239402</v>
      </c>
      <c r="G119" s="1">
        <f t="shared" si="12"/>
        <v>58.76288659793815</v>
      </c>
      <c r="H119" s="48">
        <f t="shared" si="16"/>
        <v>17.69999999999999</v>
      </c>
      <c r="I119" s="48">
        <f t="shared" si="14"/>
        <v>71.99999999999999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v>568.7</v>
      </c>
      <c r="C121" s="57">
        <f>204.9+375.8-12</f>
        <v>568.7</v>
      </c>
      <c r="D121" s="80">
        <f>136.8+10+57.4-0.1+22.6+0.1</f>
        <v>226.8</v>
      </c>
      <c r="E121" s="17">
        <f>D121/D107*100</f>
        <v>0.05427972149812031</v>
      </c>
      <c r="F121" s="6">
        <f t="shared" si="15"/>
        <v>39.880429048707576</v>
      </c>
      <c r="G121" s="6">
        <f t="shared" si="12"/>
        <v>39.880429048707576</v>
      </c>
      <c r="H121" s="65">
        <f t="shared" si="16"/>
        <v>341.90000000000003</v>
      </c>
      <c r="I121" s="65">
        <f t="shared" si="14"/>
        <v>341.90000000000003</v>
      </c>
    </row>
    <row r="122" spans="1:9" s="110" customFormat="1" ht="18">
      <c r="A122" s="26" t="s">
        <v>96</v>
      </c>
      <c r="B122" s="78">
        <v>80</v>
      </c>
      <c r="C122" s="48">
        <v>80</v>
      </c>
      <c r="D122" s="79">
        <f>57.4+22.6</f>
        <v>80</v>
      </c>
      <c r="E122" s="6"/>
      <c r="F122" s="1">
        <f>D122/B122*100</f>
        <v>100</v>
      </c>
      <c r="G122" s="1">
        <f t="shared" si="12"/>
        <v>100</v>
      </c>
      <c r="H122" s="48">
        <f t="shared" si="16"/>
        <v>0</v>
      </c>
      <c r="I122" s="48">
        <f t="shared" si="14"/>
        <v>0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v>20184.8</v>
      </c>
      <c r="C124" s="57">
        <f>5096.9+1707.5+6000+16669.6</f>
        <v>29474</v>
      </c>
      <c r="D124" s="80">
        <f>3776+7.6+1124+100+14.3+14.5+0.1+20.4+3015.8+9+1156.5+27+0.1+1146.6+5.2+681+29.9+16.3+480.3+117.6+5542.8+148.8+1446+310</f>
        <v>19189.8</v>
      </c>
      <c r="E124" s="17">
        <f>D124/D107*100</f>
        <v>4.592667546757624</v>
      </c>
      <c r="F124" s="6">
        <f t="shared" si="15"/>
        <v>95.07054813523047</v>
      </c>
      <c r="G124" s="6">
        <f t="shared" si="12"/>
        <v>65.10755241908123</v>
      </c>
      <c r="H124" s="65">
        <f t="shared" si="16"/>
        <v>995</v>
      </c>
      <c r="I124" s="65">
        <f t="shared" si="14"/>
        <v>10284.2</v>
      </c>
    </row>
    <row r="125" spans="1:9" s="2" customFormat="1" ht="18.75">
      <c r="A125" s="16" t="s">
        <v>117</v>
      </c>
      <c r="B125" s="77">
        <v>825</v>
      </c>
      <c r="C125" s="57">
        <f>1239-364</f>
        <v>875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825</v>
      </c>
      <c r="I125" s="65">
        <f t="shared" si="14"/>
        <v>875</v>
      </c>
    </row>
    <row r="126" spans="1:9" s="2" customFormat="1" ht="37.5">
      <c r="A126" s="16" t="s">
        <v>116</v>
      </c>
      <c r="B126" s="77">
        <v>20</v>
      </c>
      <c r="C126" s="57">
        <v>20</v>
      </c>
      <c r="D126" s="80"/>
      <c r="E126" s="17">
        <f>D126/D107*100</f>
        <v>0</v>
      </c>
      <c r="F126" s="133">
        <f t="shared" si="15"/>
        <v>0</v>
      </c>
      <c r="G126" s="6">
        <f t="shared" si="12"/>
        <v>0</v>
      </c>
      <c r="H126" s="65">
        <f t="shared" si="16"/>
        <v>20</v>
      </c>
      <c r="I126" s="65">
        <f t="shared" si="14"/>
        <v>20</v>
      </c>
    </row>
    <row r="127" spans="1:9" s="2" customFormat="1" ht="37.5">
      <c r="A127" s="16" t="s">
        <v>101</v>
      </c>
      <c r="B127" s="77">
        <f>22.9+32.1</f>
        <v>55</v>
      </c>
      <c r="C127" s="57">
        <v>95.1</v>
      </c>
      <c r="D127" s="80">
        <f>4.5+17.5+0.7+32.3</f>
        <v>55</v>
      </c>
      <c r="E127" s="17">
        <f>D127/D107*100</f>
        <v>0.01316307179187221</v>
      </c>
      <c r="F127" s="6">
        <f t="shared" si="15"/>
        <v>100</v>
      </c>
      <c r="G127" s="6">
        <f t="shared" si="12"/>
        <v>57.83385909568876</v>
      </c>
      <c r="H127" s="65">
        <f t="shared" si="16"/>
        <v>0</v>
      </c>
      <c r="I127" s="65">
        <f t="shared" si="14"/>
        <v>40.099999999999994</v>
      </c>
    </row>
    <row r="128" spans="1:9" s="2" customFormat="1" ht="37.5">
      <c r="A128" s="16" t="s">
        <v>73</v>
      </c>
      <c r="B128" s="77">
        <v>719.3</v>
      </c>
      <c r="C128" s="57">
        <v>983</v>
      </c>
      <c r="D128" s="80">
        <f>2.8+14.4+2.8+8.8+3.7+4+2.8+5.8+9.6+4.2+2.7+0.2+2.9+76+0.5+2.6+4.7+5.9+2.9+2.9</f>
        <v>160.2</v>
      </c>
      <c r="E128" s="17">
        <f>D128/D107*100</f>
        <v>0.038340438201053234</v>
      </c>
      <c r="F128" s="6">
        <f t="shared" si="15"/>
        <v>22.271652995968303</v>
      </c>
      <c r="G128" s="6">
        <f t="shared" si="12"/>
        <v>16.297049847405898</v>
      </c>
      <c r="H128" s="65">
        <f t="shared" si="16"/>
        <v>559.0999999999999</v>
      </c>
      <c r="I128" s="65">
        <f t="shared" si="14"/>
        <v>822.8</v>
      </c>
    </row>
    <row r="129" spans="1:9" s="36" customFormat="1" ht="18">
      <c r="A129" s="26" t="s">
        <v>110</v>
      </c>
      <c r="B129" s="78">
        <v>620.4</v>
      </c>
      <c r="C129" s="48">
        <v>851.8</v>
      </c>
      <c r="D129" s="79">
        <f>2.8+2.8-0.1+2.8+2.7+2.9+70.7+4.7+2.9+2.9</f>
        <v>95.10000000000002</v>
      </c>
      <c r="E129" s="1">
        <f>D129/D128*100</f>
        <v>59.363295880149835</v>
      </c>
      <c r="F129" s="1">
        <f>D129/B129*100</f>
        <v>15.328820116054162</v>
      </c>
      <c r="G129" s="1">
        <f t="shared" si="12"/>
        <v>11.164592627377322</v>
      </c>
      <c r="H129" s="48">
        <f t="shared" si="16"/>
        <v>525.3</v>
      </c>
      <c r="I129" s="48">
        <f t="shared" si="14"/>
        <v>756.6999999999999</v>
      </c>
    </row>
    <row r="130" spans="1:9" s="2" customFormat="1" ht="37.5">
      <c r="A130" s="16" t="s">
        <v>118</v>
      </c>
      <c r="B130" s="77">
        <v>100</v>
      </c>
      <c r="C130" s="57">
        <v>400</v>
      </c>
      <c r="D130" s="80"/>
      <c r="E130" s="17">
        <f>D130/D107*100</f>
        <v>0</v>
      </c>
      <c r="F130" s="133">
        <f t="shared" si="15"/>
        <v>0</v>
      </c>
      <c r="G130" s="6">
        <f t="shared" si="12"/>
        <v>0</v>
      </c>
      <c r="H130" s="65">
        <f t="shared" si="16"/>
        <v>100</v>
      </c>
      <c r="I130" s="65">
        <f t="shared" si="14"/>
        <v>400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45.4</v>
      </c>
      <c r="C132" s="57">
        <v>64.1</v>
      </c>
      <c r="D132" s="80">
        <f>0.8+2.3+1.8+1+14.8+2.3</f>
        <v>23</v>
      </c>
      <c r="E132" s="17">
        <f>D132/D107*100</f>
        <v>0.005504557294782923</v>
      </c>
      <c r="F132" s="6">
        <f t="shared" si="15"/>
        <v>50.66079295154186</v>
      </c>
      <c r="G132" s="6">
        <f t="shared" si="12"/>
        <v>35.8814352574103</v>
      </c>
      <c r="H132" s="65">
        <f t="shared" si="16"/>
        <v>22.4</v>
      </c>
      <c r="I132" s="65">
        <f t="shared" si="14"/>
        <v>41.099999999999994</v>
      </c>
    </row>
    <row r="133" spans="1:9" s="2" customFormat="1" ht="35.25" customHeight="1" hidden="1">
      <c r="A133" s="16" t="s">
        <v>69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108</v>
      </c>
      <c r="B134" s="77">
        <v>436.2</v>
      </c>
      <c r="C134" s="57">
        <v>600</v>
      </c>
      <c r="D134" s="80">
        <f>0.8+5+0.9+2.6-0.1+0.6+0.1+0.6</f>
        <v>10.5</v>
      </c>
      <c r="E134" s="17">
        <f>D134/D107*100</f>
        <v>0.0025129500693574216</v>
      </c>
      <c r="F134" s="6">
        <f t="shared" si="15"/>
        <v>2.407152682255846</v>
      </c>
      <c r="G134" s="6">
        <f t="shared" si="12"/>
        <v>1.7500000000000002</v>
      </c>
      <c r="H134" s="65">
        <f t="shared" si="16"/>
        <v>425.7</v>
      </c>
      <c r="I134" s="65">
        <f t="shared" si="14"/>
        <v>589.5</v>
      </c>
    </row>
    <row r="135" spans="1:9" s="2" customFormat="1" ht="35.25" customHeight="1" hidden="1">
      <c r="A135" s="16" t="s">
        <v>109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100</v>
      </c>
      <c r="B136" s="77">
        <v>247.5</v>
      </c>
      <c r="C136" s="57">
        <v>363.7</v>
      </c>
      <c r="D136" s="80">
        <f>5.2+0.3+2.7+0.1+0.5+0.2+13.8+39.2+5+5.9+2+6.5+0.1+32.4+5+3.9+0.2+0.7+8.4+0.1+0.1+3+4.4+0.1+5.5+21.4+0.1+4.5+0.6+5.7</f>
        <v>177.6</v>
      </c>
      <c r="E136" s="17">
        <f>D136/D107*100</f>
        <v>0.04250475545884553</v>
      </c>
      <c r="F136" s="6">
        <f t="shared" si="15"/>
        <v>71.75757575757575</v>
      </c>
      <c r="G136" s="6">
        <f>D136/C136*100</f>
        <v>48.8314544954633</v>
      </c>
      <c r="H136" s="65">
        <f t="shared" si="16"/>
        <v>69.9</v>
      </c>
      <c r="I136" s="65">
        <f t="shared" si="14"/>
        <v>186.1</v>
      </c>
    </row>
    <row r="137" spans="1:9" s="36" customFormat="1" ht="18">
      <c r="A137" s="26" t="s">
        <v>32</v>
      </c>
      <c r="B137" s="78">
        <v>138.9</v>
      </c>
      <c r="C137" s="48">
        <v>218.8</v>
      </c>
      <c r="D137" s="79">
        <f>0.3+39.3+0.2+2+32.4+0.2-0.1+5.4+0.1+5.5+21.4+0.1+0.1</f>
        <v>106.89999999999998</v>
      </c>
      <c r="E137" s="111">
        <f>D137/D136*100</f>
        <v>60.19144144144143</v>
      </c>
      <c r="F137" s="1">
        <f t="shared" si="15"/>
        <v>76.96184305255578</v>
      </c>
      <c r="G137" s="1">
        <f>D137/C137*100</f>
        <v>48.857404021937825</v>
      </c>
      <c r="H137" s="48">
        <f t="shared" si="16"/>
        <v>32.00000000000003</v>
      </c>
      <c r="I137" s="48">
        <f t="shared" si="14"/>
        <v>111.90000000000003</v>
      </c>
    </row>
    <row r="138" spans="1:9" s="2" customFormat="1" ht="18.75">
      <c r="A138" s="16" t="s">
        <v>31</v>
      </c>
      <c r="B138" s="77">
        <v>964.5</v>
      </c>
      <c r="C138" s="57">
        <f>1160.2+12+85</f>
        <v>1257.2</v>
      </c>
      <c r="D138" s="80">
        <f>26.5+42.3+30.1+3.6+8.6+42.3+0.1+5.7+31.9+5.2+42.5+11.7+55+45.4+28.3+17.8+9.6+33.4+0.9+26.8+46.9+38.1-0.1+30.6+29.1+43.2+28.9+29.5+0.1+43.5+140.8</f>
        <v>898.3</v>
      </c>
      <c r="E138" s="17">
        <f>D138/D107*100</f>
        <v>0.21498886164797826</v>
      </c>
      <c r="F138" s="6">
        <f t="shared" si="15"/>
        <v>93.13634007257646</v>
      </c>
      <c r="G138" s="6">
        <f t="shared" si="12"/>
        <v>71.45243398027363</v>
      </c>
      <c r="H138" s="65">
        <f t="shared" si="16"/>
        <v>66.20000000000005</v>
      </c>
      <c r="I138" s="65">
        <f t="shared" si="14"/>
        <v>358.9000000000001</v>
      </c>
    </row>
    <row r="139" spans="1:9" s="36" customFormat="1" ht="18">
      <c r="A139" s="37" t="s">
        <v>53</v>
      </c>
      <c r="B139" s="78">
        <v>662.6</v>
      </c>
      <c r="C139" s="48">
        <v>886.2</v>
      </c>
      <c r="D139" s="79">
        <f>26.5+39.8+30.1+42.1+0.1+31.9+40.5+11.2+38.1+30.1+28.3+17.4+33.4+8.9+24.2+37.9+28.8+43.2+29.4+43.5-0.1+36.5</f>
        <v>621.8</v>
      </c>
      <c r="E139" s="1">
        <f>D139/D138*100</f>
        <v>69.21963709228542</v>
      </c>
      <c r="F139" s="1">
        <f aca="true" t="shared" si="17" ref="F139:F147">D139/B139*100</f>
        <v>93.84243887715061</v>
      </c>
      <c r="G139" s="1">
        <f t="shared" si="12"/>
        <v>70.16474836380048</v>
      </c>
      <c r="H139" s="48">
        <f t="shared" si="16"/>
        <v>40.80000000000007</v>
      </c>
      <c r="I139" s="48">
        <f t="shared" si="14"/>
        <v>264.4000000000001</v>
      </c>
    </row>
    <row r="140" spans="1:9" s="36" customFormat="1" ht="18">
      <c r="A140" s="26" t="s">
        <v>32</v>
      </c>
      <c r="B140" s="78">
        <v>23.5</v>
      </c>
      <c r="C140" s="48">
        <v>39.3</v>
      </c>
      <c r="D140" s="79">
        <f>8.6+0.2+0.3+5.1+0.4+5.3+0.3+0.3+0.2+0.3</f>
        <v>21</v>
      </c>
      <c r="E140" s="1">
        <f>D140/D138*100</f>
        <v>2.337749081598575</v>
      </c>
      <c r="F140" s="1">
        <f t="shared" si="17"/>
        <v>89.36170212765957</v>
      </c>
      <c r="G140" s="1">
        <f>D140/C140*100</f>
        <v>53.43511450381679</v>
      </c>
      <c r="H140" s="48">
        <f t="shared" si="16"/>
        <v>2.5</v>
      </c>
      <c r="I140" s="48">
        <f t="shared" si="14"/>
        <v>18.299999999999997</v>
      </c>
    </row>
    <row r="141" spans="1:9" s="2" customFormat="1" ht="56.25">
      <c r="A141" s="20" t="s">
        <v>105</v>
      </c>
      <c r="B141" s="77">
        <v>345</v>
      </c>
      <c r="C141" s="57">
        <v>345</v>
      </c>
      <c r="D141" s="80">
        <f>345</f>
        <v>345</v>
      </c>
      <c r="E141" s="17">
        <f>D141/D107*100</f>
        <v>0.08256835942174386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107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102</v>
      </c>
      <c r="B143" s="77">
        <f>31185-500</f>
        <v>30685</v>
      </c>
      <c r="C143" s="57">
        <f>16744+15000+2000-2607.4+8610.1</f>
        <v>39746.7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+188.9+1164.7+122.1</f>
        <v>28410.2</v>
      </c>
      <c r="E143" s="17">
        <f>D143/D107*100</f>
        <v>6.799372767662688</v>
      </c>
      <c r="F143" s="107">
        <f t="shared" si="17"/>
        <v>92.58660583346912</v>
      </c>
      <c r="G143" s="6">
        <f t="shared" si="12"/>
        <v>71.47813529173493</v>
      </c>
      <c r="H143" s="65">
        <f t="shared" si="16"/>
        <v>2274.7999999999993</v>
      </c>
      <c r="I143" s="65">
        <f t="shared" si="14"/>
        <v>11336.499999999996</v>
      </c>
    </row>
    <row r="144" spans="1:9" s="2" customFormat="1" ht="18.75" hidden="1">
      <c r="A144" s="20" t="s">
        <v>103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106</v>
      </c>
      <c r="B145" s="77">
        <v>2247.6</v>
      </c>
      <c r="C145" s="57">
        <f>6504.8-4188</f>
        <v>2316.8</v>
      </c>
      <c r="D145" s="80">
        <f>2094+16</f>
        <v>2110</v>
      </c>
      <c r="E145" s="17">
        <f>D145/D107*100</f>
        <v>0.5049832996518246</v>
      </c>
      <c r="F145" s="107">
        <f t="shared" si="17"/>
        <v>93.87791421961204</v>
      </c>
      <c r="G145" s="6">
        <f t="shared" si="12"/>
        <v>91.0738950276243</v>
      </c>
      <c r="H145" s="65">
        <f t="shared" si="16"/>
        <v>137.5999999999999</v>
      </c>
      <c r="I145" s="65">
        <f t="shared" si="14"/>
        <v>206.80000000000018</v>
      </c>
    </row>
    <row r="146" spans="1:12" s="2" customFormat="1" ht="18.75" customHeight="1">
      <c r="A146" s="16" t="s">
        <v>93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0.14424333398111602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f>359509.3+1700</f>
        <v>361209.3</v>
      </c>
      <c r="C147" s="57">
        <f>298394.8+81857.1-188.4+8192+4136.9-39.9+58207.6+613.8</f>
        <v>451173.89999999997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+2892.4+54.6+5385.4+25.8+802.6+6.5+493+41.9+2382.3+3709.2+3849.8+621.1</f>
        <v>342274.4</v>
      </c>
      <c r="E147" s="17">
        <f>D147/D107*100</f>
        <v>81.91604544945427</v>
      </c>
      <c r="F147" s="6">
        <f t="shared" si="17"/>
        <v>94.75791459411484</v>
      </c>
      <c r="G147" s="6">
        <f t="shared" si="12"/>
        <v>75.86307629940474</v>
      </c>
      <c r="H147" s="65">
        <f t="shared" si="16"/>
        <v>18934.899999999965</v>
      </c>
      <c r="I147" s="65">
        <f t="shared" si="14"/>
        <v>108899.49999999994</v>
      </c>
      <c r="K147" s="99"/>
      <c r="L147" s="42"/>
    </row>
    <row r="148" spans="1:12" s="2" customFormat="1" ht="18.75">
      <c r="A148" s="16" t="s">
        <v>104</v>
      </c>
      <c r="B148" s="77">
        <v>21751.2</v>
      </c>
      <c r="C148" s="57">
        <v>29001.6</v>
      </c>
      <c r="D148" s="80">
        <f>805.6+805.6+805.6+805.6+805.6+805.6+805.6+805.6+805.6+805.6+805.6+805.6+805.6+805.6+805.6+805.6+805.6+805.6+805.6+805.6+805.6+805.6+805.6+805.6+805.6+805.6</f>
        <v>20945.6</v>
      </c>
      <c r="E148" s="17">
        <f>D148/D107*100</f>
        <v>5.012880664069791</v>
      </c>
      <c r="F148" s="6">
        <f t="shared" si="15"/>
        <v>96.29629629629629</v>
      </c>
      <c r="G148" s="6">
        <f t="shared" si="12"/>
        <v>72.22222222222221</v>
      </c>
      <c r="H148" s="65">
        <f t="shared" si="16"/>
        <v>805.6000000000022</v>
      </c>
      <c r="I148" s="65">
        <f t="shared" si="14"/>
        <v>8056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455199.3</v>
      </c>
      <c r="C149" s="81">
        <f>C43+C69+C72+C77+C79+C87+C102+C107+C100+C84+C98</f>
        <v>581141.0999999999</v>
      </c>
      <c r="D149" s="57">
        <f>D43+D69+D72+D77+D79+D87+D102+D107+D100+D84+D98</f>
        <v>424337.4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1145242.4</v>
      </c>
      <c r="C150" s="51">
        <f>C6+C18+C33+C43+C51+C59+C69+C72+C77+C79+C87+C90+C95+C102+C107+C100+C84+C98+C45</f>
        <v>1503920.6999999997</v>
      </c>
      <c r="D150" s="51">
        <f>D6+D18+D33+D43+D51+D59+D69+D72+D77+D79+D87+D90+D95+D102+D107+D100+D84+D98+D45</f>
        <v>1026671.7</v>
      </c>
      <c r="E150" s="35">
        <v>100</v>
      </c>
      <c r="F150" s="3">
        <f>D150/B150*100</f>
        <v>89.64667218049209</v>
      </c>
      <c r="G150" s="3">
        <f aca="true" t="shared" si="18" ref="G150:G156">D150/C150*100</f>
        <v>68.26634542632468</v>
      </c>
      <c r="H150" s="51">
        <f aca="true" t="shared" si="19" ref="H150:H156">B150-D150</f>
        <v>118570.69999999995</v>
      </c>
      <c r="I150" s="51">
        <f aca="true" t="shared" si="20" ref="I150:I156">C150-D150</f>
        <v>477248.99999999977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454922.1</v>
      </c>
      <c r="C151" s="64">
        <f>C8+C20+C34+C52+C60+C91+C115+C119+C46+C139+C131+C103</f>
        <v>608055.8999999997</v>
      </c>
      <c r="D151" s="64">
        <f>D8+D20+D34+D52+D60+D91+D115+D119+D46+D139+D131+D103</f>
        <v>418681.09999999986</v>
      </c>
      <c r="E151" s="6">
        <f>D151/D150*100</f>
        <v>40.78042669336263</v>
      </c>
      <c r="F151" s="6">
        <f aca="true" t="shared" si="21" ref="F151:F162">D151/B151*100</f>
        <v>92.03358113400071</v>
      </c>
      <c r="G151" s="6">
        <f t="shared" si="18"/>
        <v>68.85569237959866</v>
      </c>
      <c r="H151" s="65">
        <f t="shared" si="19"/>
        <v>36241.00000000012</v>
      </c>
      <c r="I151" s="76">
        <f t="shared" si="20"/>
        <v>189374.7999999998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77515.3</v>
      </c>
      <c r="C152" s="65">
        <f>C11+C23+C36+C55+C62+C92+C49+C140+C109+C112+C96+C137</f>
        <v>121928.70000000001</v>
      </c>
      <c r="D152" s="65">
        <f>D11+D23+D36+D55+D62+D92+D49+D140+D109+D112+D96+D137</f>
        <v>55534.99999999999</v>
      </c>
      <c r="E152" s="6">
        <f>D152/D150*100</f>
        <v>5.409226727492341</v>
      </c>
      <c r="F152" s="6">
        <f t="shared" si="21"/>
        <v>71.64392061954219</v>
      </c>
      <c r="G152" s="6">
        <f t="shared" si="18"/>
        <v>45.54711072946729</v>
      </c>
      <c r="H152" s="65">
        <f t="shared" si="19"/>
        <v>21980.30000000001</v>
      </c>
      <c r="I152" s="76">
        <f t="shared" si="20"/>
        <v>66393.70000000001</v>
      </c>
      <c r="K152" s="43"/>
      <c r="L152" s="98"/>
    </row>
    <row r="153" spans="1:12" ht="18.75">
      <c r="A153" s="20" t="s">
        <v>1</v>
      </c>
      <c r="B153" s="64">
        <f>B22+B10+B54+B48+B61+B35+B123</f>
        <v>24808.399999999998</v>
      </c>
      <c r="C153" s="64">
        <f>C22+C10+C54+C48+C61+C35+C123</f>
        <v>31721.800000000003</v>
      </c>
      <c r="D153" s="64">
        <f>D22+D10+D54+D48+D61+D35+D123</f>
        <v>20098.10000000001</v>
      </c>
      <c r="E153" s="6">
        <f>D153/D150*100</f>
        <v>1.9575975455445018</v>
      </c>
      <c r="F153" s="6">
        <f t="shared" si="21"/>
        <v>81.01328582254402</v>
      </c>
      <c r="G153" s="6">
        <f t="shared" si="18"/>
        <v>63.35737568486027</v>
      </c>
      <c r="H153" s="65">
        <f t="shared" si="19"/>
        <v>4710.299999999988</v>
      </c>
      <c r="I153" s="76">
        <f t="shared" si="20"/>
        <v>11623.699999999993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22082.800000000003</v>
      </c>
      <c r="C154" s="64">
        <f>C12+C24+C104+C63+C38+C93+C129+C56</f>
        <v>29372.4</v>
      </c>
      <c r="D154" s="64">
        <f>D12+D24+D104+D63+D38+D93+D129+D56</f>
        <v>15988.400000000001</v>
      </c>
      <c r="E154" s="6">
        <f>D154/D150*100</f>
        <v>1.557304053476881</v>
      </c>
      <c r="F154" s="6">
        <f t="shared" si="21"/>
        <v>72.40205046461499</v>
      </c>
      <c r="G154" s="6">
        <f t="shared" si="18"/>
        <v>54.43341368087048</v>
      </c>
      <c r="H154" s="65">
        <f t="shared" si="19"/>
        <v>6094.4000000000015</v>
      </c>
      <c r="I154" s="76">
        <f t="shared" si="20"/>
        <v>13384</v>
      </c>
      <c r="K154" s="43"/>
      <c r="L154" s="98"/>
    </row>
    <row r="155" spans="1:12" ht="18.75">
      <c r="A155" s="20" t="s">
        <v>2</v>
      </c>
      <c r="B155" s="64">
        <f>B9+B21+B47+B53+B122</f>
        <v>18891.2</v>
      </c>
      <c r="C155" s="64">
        <f>C9+C21+C47+C53+C122</f>
        <v>22288.699999999997</v>
      </c>
      <c r="D155" s="64">
        <f>D9+D21+D47+D53+D122</f>
        <v>15860.800000000003</v>
      </c>
      <c r="E155" s="6">
        <f>D155/D150*100</f>
        <v>1.544875542980293</v>
      </c>
      <c r="F155" s="6">
        <f t="shared" si="21"/>
        <v>83.9586685864318</v>
      </c>
      <c r="G155" s="6">
        <f t="shared" si="18"/>
        <v>71.1607226980488</v>
      </c>
      <c r="H155" s="65">
        <f t="shared" si="19"/>
        <v>3030.399999999998</v>
      </c>
      <c r="I155" s="76">
        <f t="shared" si="20"/>
        <v>6427.899999999994</v>
      </c>
      <c r="K155" s="43"/>
      <c r="L155" s="44"/>
    </row>
    <row r="156" spans="1:12" ht="19.5" thickBot="1">
      <c r="A156" s="20" t="s">
        <v>34</v>
      </c>
      <c r="B156" s="64">
        <f>B150-B151-B152-B153-B154-B155</f>
        <v>547022.5999999999</v>
      </c>
      <c r="C156" s="64">
        <f>C150-C151-C152-C153-C154-C155</f>
        <v>690553.2000000001</v>
      </c>
      <c r="D156" s="64">
        <f>D150-D151-D152-D153-D154-D155</f>
        <v>500508.3000000001</v>
      </c>
      <c r="E156" s="6">
        <f>D156/D150*100</f>
        <v>48.750569437143355</v>
      </c>
      <c r="F156" s="6">
        <f t="shared" si="21"/>
        <v>91.49682298318208</v>
      </c>
      <c r="G156" s="40">
        <f t="shared" si="18"/>
        <v>72.47932527139112</v>
      </c>
      <c r="H156" s="65">
        <f t="shared" si="19"/>
        <v>46514.299999999756</v>
      </c>
      <c r="I156" s="65">
        <f t="shared" si="20"/>
        <v>190044.89999999997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35078.4-3580-234</f>
        <v>31264.4</v>
      </c>
      <c r="C158" s="70">
        <f>33586.6+500+7325.2</f>
        <v>41411.799999999996</v>
      </c>
      <c r="D158" s="70">
        <f>33+3.1+31.8+118.6+8.5+18.3+41+591.6+0.1+448.4+20+14.4+41.3+31.5+458.7+42.9+92.6+54.3+185.1+276.9+138.9+420.8+189.7+128.4+1374+1199.8+948.5+463.6+2.3+2.2+200+677.2-390.9+28.9+159.7+371.4+9.6+31.3+19.2+239.7+1+60+59.5+69+4.8+207.4+131.8+36.3+6.1+4.5+29.9+77.3+33.3+1.6+435</f>
        <v>9883.9</v>
      </c>
      <c r="E158" s="14"/>
      <c r="F158" s="6">
        <f t="shared" si="21"/>
        <v>31.613912309207915</v>
      </c>
      <c r="G158" s="6">
        <f aca="true" t="shared" si="22" ref="G158:G167">D158/C158*100</f>
        <v>23.867351817597886</v>
      </c>
      <c r="H158" s="65">
        <f>B158-D158</f>
        <v>21380.5</v>
      </c>
      <c r="I158" s="65">
        <f aca="true" t="shared" si="23" ref="I158:I167">C158-D158</f>
        <v>31527.899999999994</v>
      </c>
      <c r="K158" s="43"/>
      <c r="L158" s="43"/>
    </row>
    <row r="159" spans="1:12" ht="18.75">
      <c r="A159" s="20" t="s">
        <v>22</v>
      </c>
      <c r="B159" s="85">
        <f>45935.7-1181.5</f>
        <v>44754.2</v>
      </c>
      <c r="C159" s="64">
        <f>51080.5+400+4581.4</f>
        <v>56061.9</v>
      </c>
      <c r="D159" s="64">
        <f>100+49.9+293.6+174.2+159.5+52+404.4+89.3+150+694.7+650+637.7+888.1+1549.4+1150.4+28.8+73+685+233.1+79.4+200+254.7+419.8+99.5+57.1+1.6+2862.1+4096.9+63.4+185.1+178.3+1864.4+0.1+67.7+62.8+1037.9+2.3+1408.4+110.5+74.8+4.2+339.9+777.7+187.4+329+752+511.5+1773.7</f>
        <v>25865.300000000007</v>
      </c>
      <c r="E159" s="6"/>
      <c r="F159" s="6">
        <f t="shared" si="21"/>
        <v>57.79412881919465</v>
      </c>
      <c r="G159" s="6">
        <f t="shared" si="22"/>
        <v>46.13703780999218</v>
      </c>
      <c r="H159" s="65">
        <f aca="true" t="shared" si="24" ref="H159:H166">B159-D159</f>
        <v>18888.89999999999</v>
      </c>
      <c r="I159" s="65">
        <f t="shared" si="23"/>
        <v>30196.599999999995</v>
      </c>
      <c r="K159" s="43"/>
      <c r="L159" s="43"/>
    </row>
    <row r="160" spans="1:12" ht="18.75">
      <c r="A160" s="20" t="s">
        <v>58</v>
      </c>
      <c r="B160" s="85">
        <f>297236.8-6716.5+3115.5</f>
        <v>293635.8</v>
      </c>
      <c r="C160" s="64">
        <f>327552.4-500+46301</f>
        <v>373353.4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+61.3-211.3+3307.3+3555.3+793.5+341.4+414+1037.3+2700.7+62.1+513.6-21.8+523.9+11473.2+6029.9+604.8+30+771+3780.1+2092.8+4737.5+860.6+514.3+1111.5+8+299.3+489.8+1553.9+546.9+459.7+238.7-28+1021.6+19.5+43.6+2.2+390.7+1046-1.3+2046.8+137.3+9065.4+72+3371.2+5709.9+3459.9+606.3+2273+164.4+1526.7+1413.9+764.7+1688.7+1859.6+1164.3+653+562.3+2735.2+296+599.2+2541+1+1817.6+100.2+1863.3+4501+4519.8+810.6+3118.8+1617.5+632.1+5312.6</f>
        <v>181259.30000000002</v>
      </c>
      <c r="E160" s="6"/>
      <c r="F160" s="6">
        <f t="shared" si="21"/>
        <v>61.72929186427542</v>
      </c>
      <c r="G160" s="6">
        <f t="shared" si="22"/>
        <v>48.54898870614276</v>
      </c>
      <c r="H160" s="65">
        <f t="shared" si="24"/>
        <v>112376.49999999997</v>
      </c>
      <c r="I160" s="65">
        <f t="shared" si="23"/>
        <v>192094.1</v>
      </c>
      <c r="K160" s="43"/>
      <c r="L160" s="43"/>
    </row>
    <row r="161" spans="1:12" ht="37.5">
      <c r="A161" s="20" t="s">
        <v>67</v>
      </c>
      <c r="B161" s="85">
        <v>4923.4</v>
      </c>
      <c r="C161" s="64">
        <v>4923.4</v>
      </c>
      <c r="D161" s="64">
        <f>1477+1723.2+1723.2</f>
        <v>4923.4</v>
      </c>
      <c r="E161" s="6"/>
      <c r="F161" s="6">
        <f t="shared" si="21"/>
        <v>100</v>
      </c>
      <c r="G161" s="6">
        <f t="shared" si="22"/>
        <v>100</v>
      </c>
      <c r="H161" s="65">
        <f t="shared" si="24"/>
        <v>0</v>
      </c>
      <c r="I161" s="65">
        <f t="shared" si="23"/>
        <v>0</v>
      </c>
      <c r="K161" s="43"/>
      <c r="L161" s="43"/>
    </row>
    <row r="162" spans="1:12" ht="18.75">
      <c r="A162" s="20" t="s">
        <v>13</v>
      </c>
      <c r="B162" s="85">
        <v>11805.1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+286.2+38+40.3+12.5+359+340.9+125.3+186.9+37.9+212+48.2+98.7+68.2+138.6+190+256.6+149.7+7.5+30+214.1+68.7+210.2+295.8+320.2+21.8</f>
        <v>7456.899999999999</v>
      </c>
      <c r="E162" s="17"/>
      <c r="F162" s="6">
        <f t="shared" si="21"/>
        <v>63.16676690582882</v>
      </c>
      <c r="G162" s="6">
        <f t="shared" si="22"/>
        <v>54.50113652144041</v>
      </c>
      <c r="H162" s="65">
        <f t="shared" si="24"/>
        <v>4348.200000000002</v>
      </c>
      <c r="I162" s="65">
        <f t="shared" si="23"/>
        <v>6225.200000000002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5">
        <f t="shared" si="24"/>
        <v>0</v>
      </c>
      <c r="I163" s="65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1572.4</v>
      </c>
      <c r="C164" s="64">
        <v>2118.3</v>
      </c>
      <c r="D164" s="64">
        <f>394.4+14+15.3+287.2</f>
        <v>710.9</v>
      </c>
      <c r="E164" s="17"/>
      <c r="F164" s="6">
        <f>D164/B164*100</f>
        <v>45.21114220300178</v>
      </c>
      <c r="G164" s="6">
        <f t="shared" si="22"/>
        <v>33.559930132653534</v>
      </c>
      <c r="H164" s="65">
        <f t="shared" si="24"/>
        <v>861.5000000000001</v>
      </c>
      <c r="I164" s="65">
        <f t="shared" si="23"/>
        <v>1407.4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5">
        <f t="shared" si="24"/>
        <v>0</v>
      </c>
      <c r="I165" s="65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5">
        <f t="shared" si="24"/>
        <v>0</v>
      </c>
      <c r="I166" s="65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1533197.6999999997</v>
      </c>
      <c r="C167" s="87">
        <f>C150+C158+C162+C163+C159+C166+C165+C160+C164+C161</f>
        <v>1995471.5999999999</v>
      </c>
      <c r="D167" s="87">
        <f>D150+D158+D162+D163+D159+D166+D165+D160+D164+D161</f>
        <v>1256771.4</v>
      </c>
      <c r="E167" s="22"/>
      <c r="F167" s="3">
        <f>D167/B167*100</f>
        <v>81.97060300834002</v>
      </c>
      <c r="G167" s="3">
        <f t="shared" si="22"/>
        <v>62.98117196957351</v>
      </c>
      <c r="H167" s="51">
        <f>B167-D167</f>
        <v>276426.2999999998</v>
      </c>
      <c r="I167" s="51">
        <f t="shared" si="23"/>
        <v>738700.2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7">
    <cfRule type="cellIs" priority="3" dxfId="2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1503920.6999999997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1026671.7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1503920.6999999997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1026671.7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2016-08-31T14:21:06Z</cp:lastPrinted>
  <dcterms:created xsi:type="dcterms:W3CDTF">2000-06-20T04:48:00Z</dcterms:created>
  <dcterms:modified xsi:type="dcterms:W3CDTF">2016-09-20T09:27:10Z</dcterms:modified>
  <cp:category/>
  <cp:version/>
  <cp:contentType/>
  <cp:contentStatus/>
</cp:coreProperties>
</file>